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Tutorial\Tech edit MB\New files to Jon Moore\"/>
    </mc:Choice>
  </mc:AlternateContent>
  <xr:revisionPtr revIDLastSave="0" documentId="8_{6AFD5BE2-B833-4B3F-839C-6FB6F1E0079E}" xr6:coauthVersionLast="47" xr6:coauthVersionMax="47" xr10:uidLastSave="{00000000-0000-0000-0000-000000000000}"/>
  <bookViews>
    <workbookView xWindow="28680" yWindow="-120" windowWidth="29040" windowHeight="15840" xr2:uid="{B5751A4A-43EA-4C98-B15F-AE82C3E53785}"/>
  </bookViews>
  <sheets>
    <sheet name="Sales &amp; production information" sheetId="2" r:id="rId1"/>
    <sheet name="Pricing" sheetId="4" r:id="rId2"/>
    <sheet name="Marginal cost statement 30Jun-9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6" i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6" i="2"/>
  <c r="L25" i="2"/>
  <c r="C25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6" i="2"/>
  <c r="F7" i="2"/>
  <c r="F8" i="2"/>
  <c r="F9" i="2"/>
  <c r="F10" i="2"/>
  <c r="F11" i="2"/>
  <c r="F12" i="2"/>
  <c r="F13" i="2"/>
  <c r="F14" i="2"/>
  <c r="F15" i="2"/>
  <c r="F16" i="2"/>
  <c r="K16" i="2" s="1"/>
  <c r="F17" i="2"/>
  <c r="F18" i="2"/>
  <c r="F19" i="2"/>
  <c r="F20" i="2"/>
  <c r="F21" i="2"/>
  <c r="F22" i="2"/>
  <c r="F23" i="2"/>
  <c r="F6" i="2"/>
  <c r="H7" i="2"/>
  <c r="H8" i="2"/>
  <c r="H9" i="2"/>
  <c r="H10" i="2"/>
  <c r="K10" i="2" s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6" i="2"/>
  <c r="K6" i="2" l="1"/>
  <c r="K9" i="2"/>
  <c r="K8" i="2"/>
  <c r="O8" i="2" s="1"/>
  <c r="K17" i="2"/>
  <c r="O17" i="2" s="1"/>
  <c r="K18" i="2"/>
  <c r="K15" i="2"/>
  <c r="O15" i="2" s="1"/>
  <c r="K22" i="2"/>
  <c r="O22" i="2" s="1"/>
  <c r="K14" i="2"/>
  <c r="K7" i="2"/>
  <c r="K21" i="2"/>
  <c r="K13" i="2"/>
  <c r="K20" i="2"/>
  <c r="K12" i="2"/>
  <c r="K23" i="2"/>
  <c r="K19" i="2"/>
  <c r="K11" i="2"/>
  <c r="M25" i="2"/>
  <c r="D4" i="1" s="1"/>
  <c r="O7" i="2"/>
  <c r="O9" i="2"/>
  <c r="O10" i="2"/>
  <c r="N25" i="2"/>
  <c r="J25" i="2"/>
  <c r="C8" i="1" s="1"/>
  <c r="O14" i="2"/>
  <c r="O16" i="2"/>
  <c r="O23" i="2"/>
  <c r="H25" i="2"/>
  <c r="F25" i="2"/>
  <c r="C9" i="1" l="1"/>
  <c r="O19" i="2"/>
  <c r="O21" i="2"/>
  <c r="O12" i="2"/>
  <c r="O18" i="2"/>
  <c r="O20" i="2"/>
  <c r="O13" i="2"/>
  <c r="O11" i="2"/>
  <c r="O6" i="2"/>
  <c r="K25" i="2"/>
  <c r="E9" i="1" l="1"/>
  <c r="O25" i="2"/>
  <c r="C10" i="1" l="1"/>
  <c r="C11" i="1" s="1"/>
  <c r="D13" i="1" s="1"/>
  <c r="D14" i="1" s="1"/>
  <c r="E14" i="1" l="1"/>
  <c r="D19" i="1"/>
</calcChain>
</file>

<file path=xl/sharedStrings.xml><?xml version="1.0" encoding="utf-8"?>
<sst xmlns="http://schemas.openxmlformats.org/spreadsheetml/2006/main" count="82" uniqueCount="58">
  <si>
    <t>Marginal cost statement year ended 30 June 20-9</t>
  </si>
  <si>
    <t>Army Surplus</t>
  </si>
  <si>
    <t>Double Denim</t>
  </si>
  <si>
    <t>Total materials cost</t>
  </si>
  <si>
    <t>Labour cost per hour</t>
  </si>
  <si>
    <t>Pink</t>
  </si>
  <si>
    <t>Blue</t>
  </si>
  <si>
    <t>Yellow</t>
  </si>
  <si>
    <t>Purple</t>
  </si>
  <si>
    <t>Navy</t>
  </si>
  <si>
    <t>Black</t>
  </si>
  <si>
    <t>Indigo</t>
  </si>
  <si>
    <t>Stone washed</t>
  </si>
  <si>
    <t>White</t>
  </si>
  <si>
    <t>Multi coloured</t>
  </si>
  <si>
    <t>Green</t>
  </si>
  <si>
    <t>Red</t>
  </si>
  <si>
    <t>Sales revenue</t>
  </si>
  <si>
    <t>£</t>
  </si>
  <si>
    <t>Total labour cost £</t>
  </si>
  <si>
    <t xml:space="preserve">Number of items produced </t>
  </si>
  <si>
    <t>Material used per item, metres</t>
  </si>
  <si>
    <t>Material cost per metre £</t>
  </si>
  <si>
    <t>Labour per item, hrs</t>
  </si>
  <si>
    <t>Variable overheads per item    £</t>
  </si>
  <si>
    <t>Marginal cost of production £</t>
  </si>
  <si>
    <t>Number of items sold</t>
  </si>
  <si>
    <t xml:space="preserve">Items in closing inventory </t>
  </si>
  <si>
    <t>Closing inventory value £</t>
  </si>
  <si>
    <t>Total</t>
  </si>
  <si>
    <t>Cool Canvas</t>
  </si>
  <si>
    <t>Product line</t>
  </si>
  <si>
    <t>Sales price, £</t>
  </si>
  <si>
    <t>Product Line</t>
  </si>
  <si>
    <t>Colour</t>
  </si>
  <si>
    <t>Direct materials costs</t>
  </si>
  <si>
    <t>Direct labour costs</t>
  </si>
  <si>
    <t>Total variable overhead cost £</t>
  </si>
  <si>
    <t>Variable overhead costs</t>
  </si>
  <si>
    <t>Variable costs</t>
  </si>
  <si>
    <t xml:space="preserve">Closing inventory </t>
  </si>
  <si>
    <t>Fixed production overheads</t>
  </si>
  <si>
    <t>Cost of sales</t>
  </si>
  <si>
    <t>Gross profit</t>
  </si>
  <si>
    <t>Marketing</t>
  </si>
  <si>
    <t>Distribution</t>
  </si>
  <si>
    <t>Net profit</t>
  </si>
  <si>
    <t>Recycled Rucksacks</t>
  </si>
  <si>
    <t>Year ended 30 June 20-9</t>
  </si>
  <si>
    <t>Production and sales information</t>
  </si>
  <si>
    <t>Recycled Rucksacks - Pricing</t>
  </si>
  <si>
    <t xml:space="preserve">Recycled Rucksacks </t>
  </si>
  <si>
    <t>Overheads:</t>
  </si>
  <si>
    <t xml:space="preserve">Administration </t>
  </si>
  <si>
    <t>Camouflage</t>
  </si>
  <si>
    <t>Shabby Chic</t>
  </si>
  <si>
    <t>Prime production cost</t>
  </si>
  <si>
    <t>Total sales revenue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</si>
</sst>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2" fontId="0" fillId="0" borderId="0" xfId="0" applyNumberFormat="1"/>
    <xf numFmtId="43" fontId="0" fillId="0" borderId="0" xfId="1" applyFont="1"/>
    <xf numFmtId="43" fontId="0" fillId="0" borderId="0" xfId="0" applyNumberFormat="1"/>
    <xf numFmtId="0" fontId="0" fillId="0" borderId="3" xfId="0" applyBorder="1"/>
    <xf numFmtId="0" fontId="0" fillId="0" borderId="5" xfId="0" applyBorder="1"/>
    <xf numFmtId="0" fontId="2" fillId="0" borderId="1" xfId="0" applyFont="1" applyBorder="1"/>
    <xf numFmtId="0" fontId="2" fillId="0" borderId="2" xfId="0" applyFont="1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1" applyNumberFormat="1" applyFont="1"/>
    <xf numFmtId="43" fontId="0" fillId="0" borderId="7" xfId="0" applyNumberFormat="1" applyBorder="1"/>
    <xf numFmtId="43" fontId="0" fillId="0" borderId="7" xfId="1" applyFont="1" applyBorder="1"/>
    <xf numFmtId="9" fontId="0" fillId="0" borderId="0" xfId="2" applyFont="1"/>
    <xf numFmtId="43" fontId="0" fillId="0" borderId="8" xfId="1" applyFont="1" applyBorder="1"/>
    <xf numFmtId="0" fontId="3" fillId="0" borderId="0" xfId="0" applyFont="1"/>
    <xf numFmtId="0" fontId="4" fillId="0" borderId="0" xfId="0" applyFont="1"/>
    <xf numFmtId="164" fontId="0" fillId="0" borderId="8" xfId="1" applyNumberFormat="1" applyFont="1" applyBorder="1"/>
    <xf numFmtId="0" fontId="0" fillId="0" borderId="8" xfId="0" applyBorder="1"/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0" applyNumberFormat="1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D39E2-4556-403A-A14B-964F68A75630}">
  <dimension ref="A1:O26"/>
  <sheetViews>
    <sheetView tabSelected="1" workbookViewId="0">
      <selection activeCell="R5" sqref="R5"/>
    </sheetView>
  </sheetViews>
  <sheetFormatPr defaultRowHeight="14.5" x14ac:dyDescent="0.35"/>
  <cols>
    <col min="1" max="1" width="21" customWidth="1"/>
    <col min="2" max="2" width="13.453125" bestFit="1" customWidth="1"/>
    <col min="3" max="3" width="20.36328125" customWidth="1"/>
    <col min="4" max="4" width="13.1796875" customWidth="1"/>
    <col min="5" max="5" width="12.1796875" customWidth="1"/>
    <col min="6" max="6" width="10.08984375" bestFit="1" customWidth="1"/>
    <col min="8" max="8" width="11.08984375" bestFit="1" customWidth="1"/>
    <col min="9" max="10" width="9.81640625" customWidth="1"/>
    <col min="11" max="11" width="13.36328125" customWidth="1"/>
    <col min="12" max="12" width="10.36328125" customWidth="1"/>
    <col min="13" max="13" width="12.81640625" customWidth="1"/>
    <col min="14" max="14" width="9.08984375" bestFit="1" customWidth="1"/>
    <col min="15" max="15" width="11.08984375" customWidth="1"/>
  </cols>
  <sheetData>
    <row r="1" spans="1:15" ht="18.5" x14ac:dyDescent="0.45">
      <c r="A1" s="17" t="s">
        <v>51</v>
      </c>
      <c r="C1" t="s">
        <v>4</v>
      </c>
      <c r="D1" s="23">
        <v>16.2</v>
      </c>
    </row>
    <row r="2" spans="1:15" ht="15.5" x14ac:dyDescent="0.35">
      <c r="A2" s="16" t="s">
        <v>49</v>
      </c>
    </row>
    <row r="3" spans="1:15" ht="15.5" x14ac:dyDescent="0.35">
      <c r="A3" s="16" t="s">
        <v>48</v>
      </c>
    </row>
    <row r="5" spans="1:15" s="20" customFormat="1" ht="58" x14ac:dyDescent="0.35">
      <c r="A5" s="20" t="s">
        <v>33</v>
      </c>
      <c r="B5" s="20" t="s">
        <v>34</v>
      </c>
      <c r="C5" s="21" t="s">
        <v>20</v>
      </c>
      <c r="D5" s="21" t="s">
        <v>21</v>
      </c>
      <c r="E5" s="22" t="s">
        <v>22</v>
      </c>
      <c r="F5" s="21" t="s">
        <v>3</v>
      </c>
      <c r="G5" s="21" t="s">
        <v>23</v>
      </c>
      <c r="H5" s="21" t="s">
        <v>19</v>
      </c>
      <c r="I5" s="21" t="s">
        <v>24</v>
      </c>
      <c r="J5" s="21" t="s">
        <v>37</v>
      </c>
      <c r="K5" s="21" t="s">
        <v>25</v>
      </c>
      <c r="L5" s="21" t="s">
        <v>26</v>
      </c>
      <c r="M5" s="21" t="s">
        <v>57</v>
      </c>
      <c r="N5" s="21" t="s">
        <v>27</v>
      </c>
      <c r="O5" s="21" t="s">
        <v>28</v>
      </c>
    </row>
    <row r="6" spans="1:15" x14ac:dyDescent="0.35">
      <c r="A6" t="s">
        <v>55</v>
      </c>
      <c r="B6" t="s">
        <v>5</v>
      </c>
      <c r="C6" s="11">
        <v>650</v>
      </c>
      <c r="D6" s="2">
        <v>1.3</v>
      </c>
      <c r="E6" s="3">
        <v>3.25</v>
      </c>
      <c r="F6" s="3">
        <f>E6*D6*C6</f>
        <v>2746.2500000000005</v>
      </c>
      <c r="G6" s="2">
        <v>1</v>
      </c>
      <c r="H6" s="3">
        <f t="shared" ref="H6:H23" si="0">G6*C6*$D$1</f>
        <v>10530</v>
      </c>
      <c r="I6" s="3">
        <v>3.6</v>
      </c>
      <c r="J6" s="3">
        <f t="shared" ref="J6:J23" si="1">C6*I6</f>
        <v>2340</v>
      </c>
      <c r="K6" s="3">
        <f>+F6+H6+J6</f>
        <v>15616.25</v>
      </c>
      <c r="L6" s="11">
        <v>621</v>
      </c>
      <c r="M6" s="3">
        <f>VLOOKUP(A6,Pricing!$A3:$B6,2,FALSE)*L6</f>
        <v>27945</v>
      </c>
      <c r="N6">
        <f t="shared" ref="N6:N23" si="2">+C6-L6</f>
        <v>29</v>
      </c>
      <c r="O6" s="3">
        <f t="shared" ref="O6:O23" si="3">K6/C6*N6</f>
        <v>696.72499999999991</v>
      </c>
    </row>
    <row r="7" spans="1:15" x14ac:dyDescent="0.35">
      <c r="A7" t="s">
        <v>55</v>
      </c>
      <c r="B7" t="s">
        <v>6</v>
      </c>
      <c r="C7" s="11">
        <v>520</v>
      </c>
      <c r="D7" s="2">
        <v>1.3</v>
      </c>
      <c r="E7" s="3">
        <v>3.45</v>
      </c>
      <c r="F7" s="3">
        <f t="shared" ref="F7:F23" si="4">E7*D7*C7</f>
        <v>2332.2000000000003</v>
      </c>
      <c r="G7" s="2">
        <v>1</v>
      </c>
      <c r="H7" s="3">
        <f t="shared" si="0"/>
        <v>8424</v>
      </c>
      <c r="I7" s="3">
        <v>3.6</v>
      </c>
      <c r="J7" s="3">
        <f t="shared" si="1"/>
        <v>1872</v>
      </c>
      <c r="K7" s="3">
        <f t="shared" ref="K7:K23" si="5">+F7+H7+J7</f>
        <v>12628.2</v>
      </c>
      <c r="L7" s="11">
        <v>512</v>
      </c>
      <c r="M7" s="3">
        <f>VLOOKUP(A7,Pricing!$A$3:$B$6,2,FALSE)*L7</f>
        <v>23040</v>
      </c>
      <c r="N7">
        <f t="shared" si="2"/>
        <v>8</v>
      </c>
      <c r="O7" s="3">
        <f t="shared" si="3"/>
        <v>194.28</v>
      </c>
    </row>
    <row r="8" spans="1:15" x14ac:dyDescent="0.35">
      <c r="A8" t="s">
        <v>55</v>
      </c>
      <c r="B8" t="s">
        <v>7</v>
      </c>
      <c r="C8" s="11">
        <v>340</v>
      </c>
      <c r="D8" s="2">
        <v>1.3</v>
      </c>
      <c r="E8" s="3">
        <v>3.78</v>
      </c>
      <c r="F8" s="3">
        <f t="shared" si="4"/>
        <v>1670.76</v>
      </c>
      <c r="G8" s="2">
        <v>1</v>
      </c>
      <c r="H8" s="3">
        <f t="shared" si="0"/>
        <v>5508</v>
      </c>
      <c r="I8" s="3">
        <v>3.6</v>
      </c>
      <c r="J8" s="3">
        <f t="shared" si="1"/>
        <v>1224</v>
      </c>
      <c r="K8" s="3">
        <f t="shared" si="5"/>
        <v>8402.76</v>
      </c>
      <c r="L8" s="11">
        <v>280</v>
      </c>
      <c r="M8" s="3">
        <f>VLOOKUP(A8,Pricing!$A$3:$B$6,2,FALSE)*L8</f>
        <v>12600</v>
      </c>
      <c r="N8">
        <f t="shared" si="2"/>
        <v>60</v>
      </c>
      <c r="O8" s="3">
        <f t="shared" si="3"/>
        <v>1482.8400000000001</v>
      </c>
    </row>
    <row r="9" spans="1:15" x14ac:dyDescent="0.35">
      <c r="A9" t="s">
        <v>55</v>
      </c>
      <c r="B9" t="s">
        <v>8</v>
      </c>
      <c r="C9" s="11">
        <v>251</v>
      </c>
      <c r="D9" s="2">
        <v>1.3</v>
      </c>
      <c r="E9" s="3">
        <v>3.85</v>
      </c>
      <c r="F9" s="3">
        <f t="shared" si="4"/>
        <v>1256.2549999999999</v>
      </c>
      <c r="G9" s="2">
        <v>1</v>
      </c>
      <c r="H9" s="3">
        <f t="shared" si="0"/>
        <v>4066.2</v>
      </c>
      <c r="I9" s="3">
        <v>3.6</v>
      </c>
      <c r="J9" s="3">
        <f t="shared" si="1"/>
        <v>903.6</v>
      </c>
      <c r="K9" s="3">
        <f t="shared" si="5"/>
        <v>6226.0550000000003</v>
      </c>
      <c r="L9" s="11">
        <v>242</v>
      </c>
      <c r="M9" s="3">
        <f>VLOOKUP(A9,Pricing!$A$3:$B$6,2,FALSE)*L9</f>
        <v>10890</v>
      </c>
      <c r="N9">
        <f t="shared" si="2"/>
        <v>9</v>
      </c>
      <c r="O9" s="3">
        <f t="shared" si="3"/>
        <v>223.245</v>
      </c>
    </row>
    <row r="10" spans="1:15" x14ac:dyDescent="0.35">
      <c r="A10" t="s">
        <v>55</v>
      </c>
      <c r="B10" t="s">
        <v>14</v>
      </c>
      <c r="C10" s="11">
        <v>463</v>
      </c>
      <c r="D10" s="2">
        <v>1.3</v>
      </c>
      <c r="E10" s="3">
        <v>3.32</v>
      </c>
      <c r="F10" s="3">
        <f t="shared" si="4"/>
        <v>1998.308</v>
      </c>
      <c r="G10" s="2">
        <v>1</v>
      </c>
      <c r="H10" s="3">
        <f t="shared" si="0"/>
        <v>7500.5999999999995</v>
      </c>
      <c r="I10" s="3">
        <v>3.6</v>
      </c>
      <c r="J10" s="3">
        <f t="shared" si="1"/>
        <v>1666.8</v>
      </c>
      <c r="K10" s="3">
        <f t="shared" si="5"/>
        <v>11165.707999999999</v>
      </c>
      <c r="L10" s="11">
        <v>425</v>
      </c>
      <c r="M10" s="3">
        <f>VLOOKUP(A10,Pricing!$A$3:$B$6,2,FALSE)*L10</f>
        <v>19125</v>
      </c>
      <c r="N10">
        <f t="shared" si="2"/>
        <v>38</v>
      </c>
      <c r="O10" s="3">
        <f t="shared" si="3"/>
        <v>916.4079999999999</v>
      </c>
    </row>
    <row r="11" spans="1:15" x14ac:dyDescent="0.35">
      <c r="A11" t="s">
        <v>1</v>
      </c>
      <c r="B11" t="s">
        <v>54</v>
      </c>
      <c r="C11" s="11">
        <v>950</v>
      </c>
      <c r="D11" s="2">
        <v>1</v>
      </c>
      <c r="E11" s="3">
        <v>2.4500000000000002</v>
      </c>
      <c r="F11" s="3">
        <f t="shared" si="4"/>
        <v>2327.5</v>
      </c>
      <c r="G11" s="2">
        <v>0.75</v>
      </c>
      <c r="H11" s="3">
        <f t="shared" si="0"/>
        <v>11542.5</v>
      </c>
      <c r="I11" s="3">
        <v>4.5</v>
      </c>
      <c r="J11" s="3">
        <f t="shared" si="1"/>
        <v>4275</v>
      </c>
      <c r="K11" s="3">
        <f t="shared" si="5"/>
        <v>18145</v>
      </c>
      <c r="L11" s="11">
        <v>900</v>
      </c>
      <c r="M11" s="3">
        <f>VLOOKUP(A11,Pricing!$A$3:$B$6,2,FALSE)*L11</f>
        <v>31500</v>
      </c>
      <c r="N11">
        <f t="shared" si="2"/>
        <v>50</v>
      </c>
      <c r="O11" s="3">
        <f t="shared" si="3"/>
        <v>955.00000000000011</v>
      </c>
    </row>
    <row r="12" spans="1:15" x14ac:dyDescent="0.35">
      <c r="A12" t="s">
        <v>1</v>
      </c>
      <c r="B12" t="s">
        <v>9</v>
      </c>
      <c r="C12" s="11">
        <v>634</v>
      </c>
      <c r="D12" s="2">
        <v>1</v>
      </c>
      <c r="E12" s="3">
        <v>2.6</v>
      </c>
      <c r="F12" s="3">
        <f t="shared" si="4"/>
        <v>1648.4</v>
      </c>
      <c r="G12" s="2">
        <v>0.75</v>
      </c>
      <c r="H12" s="3">
        <f t="shared" si="0"/>
        <v>7703.0999999999995</v>
      </c>
      <c r="I12" s="3">
        <v>4.5</v>
      </c>
      <c r="J12" s="3">
        <f t="shared" si="1"/>
        <v>2853</v>
      </c>
      <c r="K12" s="3">
        <f t="shared" si="5"/>
        <v>12204.5</v>
      </c>
      <c r="L12" s="11">
        <v>601</v>
      </c>
      <c r="M12" s="3">
        <f>VLOOKUP(A12,Pricing!$A$3:$B$6,2,FALSE)*L12</f>
        <v>21035</v>
      </c>
      <c r="N12">
        <f t="shared" si="2"/>
        <v>33</v>
      </c>
      <c r="O12" s="3">
        <f t="shared" si="3"/>
        <v>635.25</v>
      </c>
    </row>
    <row r="13" spans="1:15" x14ac:dyDescent="0.35">
      <c r="A13" t="s">
        <v>1</v>
      </c>
      <c r="B13" t="s">
        <v>10</v>
      </c>
      <c r="C13" s="11">
        <v>183</v>
      </c>
      <c r="D13" s="2">
        <v>1</v>
      </c>
      <c r="E13" s="3">
        <v>2.8</v>
      </c>
      <c r="F13" s="3">
        <f t="shared" si="4"/>
        <v>512.4</v>
      </c>
      <c r="G13" s="2">
        <v>0.75</v>
      </c>
      <c r="H13" s="3">
        <f t="shared" si="0"/>
        <v>2223.4499999999998</v>
      </c>
      <c r="I13" s="3">
        <v>4.5</v>
      </c>
      <c r="J13" s="3">
        <f t="shared" si="1"/>
        <v>823.5</v>
      </c>
      <c r="K13" s="3">
        <f t="shared" si="5"/>
        <v>3559.35</v>
      </c>
      <c r="L13" s="11">
        <v>175</v>
      </c>
      <c r="M13" s="3">
        <f>VLOOKUP(A13,Pricing!$A$3:$B$6,2,FALSE)*L13</f>
        <v>6125</v>
      </c>
      <c r="N13">
        <f t="shared" si="2"/>
        <v>8</v>
      </c>
      <c r="O13" s="3">
        <f t="shared" si="3"/>
        <v>155.6</v>
      </c>
    </row>
    <row r="14" spans="1:15" x14ac:dyDescent="0.35">
      <c r="A14" t="s">
        <v>2</v>
      </c>
      <c r="B14" t="s">
        <v>11</v>
      </c>
      <c r="C14" s="11">
        <v>769</v>
      </c>
      <c r="D14" s="2">
        <v>1.1000000000000001</v>
      </c>
      <c r="E14" s="3">
        <v>4.2</v>
      </c>
      <c r="F14" s="3">
        <f t="shared" si="4"/>
        <v>3552.7800000000007</v>
      </c>
      <c r="G14" s="2">
        <v>1.25</v>
      </c>
      <c r="H14" s="3">
        <f t="shared" si="0"/>
        <v>15572.25</v>
      </c>
      <c r="I14" s="3">
        <v>2.6</v>
      </c>
      <c r="J14" s="3">
        <f t="shared" si="1"/>
        <v>1999.4</v>
      </c>
      <c r="K14" s="3">
        <f t="shared" si="5"/>
        <v>21124.43</v>
      </c>
      <c r="L14" s="11">
        <v>742</v>
      </c>
      <c r="M14" s="3">
        <f>VLOOKUP(A14,Pricing!$A$3:$B$6,2,FALSE)*L14</f>
        <v>25970</v>
      </c>
      <c r="N14">
        <f t="shared" si="2"/>
        <v>27</v>
      </c>
      <c r="O14" s="3">
        <f t="shared" si="3"/>
        <v>741.68999999999994</v>
      </c>
    </row>
    <row r="15" spans="1:15" x14ac:dyDescent="0.35">
      <c r="A15" t="s">
        <v>2</v>
      </c>
      <c r="B15" t="s">
        <v>12</v>
      </c>
      <c r="C15" s="11">
        <v>943</v>
      </c>
      <c r="D15" s="2">
        <v>1.1000000000000001</v>
      </c>
      <c r="E15" s="3">
        <v>4.0999999999999996</v>
      </c>
      <c r="F15" s="3">
        <f t="shared" si="4"/>
        <v>4252.9299999999994</v>
      </c>
      <c r="G15" s="2">
        <v>1.25</v>
      </c>
      <c r="H15" s="3">
        <f t="shared" si="0"/>
        <v>19095.75</v>
      </c>
      <c r="I15" s="3">
        <v>2.6</v>
      </c>
      <c r="J15" s="3">
        <f t="shared" si="1"/>
        <v>2451.8000000000002</v>
      </c>
      <c r="K15" s="3">
        <f t="shared" si="5"/>
        <v>25800.48</v>
      </c>
      <c r="L15" s="11">
        <v>853</v>
      </c>
      <c r="M15" s="3">
        <f>VLOOKUP(A15,Pricing!$A$3:$B$6,2,FALSE)*L15</f>
        <v>29855</v>
      </c>
      <c r="N15">
        <f t="shared" si="2"/>
        <v>90</v>
      </c>
      <c r="O15" s="3">
        <f t="shared" si="3"/>
        <v>2462.4</v>
      </c>
    </row>
    <row r="16" spans="1:15" x14ac:dyDescent="0.35">
      <c r="A16" t="s">
        <v>2</v>
      </c>
      <c r="B16" t="s">
        <v>13</v>
      </c>
      <c r="C16" s="11">
        <v>428</v>
      </c>
      <c r="D16" s="2">
        <v>1.1000000000000001</v>
      </c>
      <c r="E16" s="3">
        <v>4.25</v>
      </c>
      <c r="F16" s="3">
        <f t="shared" si="4"/>
        <v>2000.9000000000003</v>
      </c>
      <c r="G16" s="2">
        <v>1.25</v>
      </c>
      <c r="H16" s="3">
        <f t="shared" si="0"/>
        <v>8667</v>
      </c>
      <c r="I16" s="3">
        <v>2.6</v>
      </c>
      <c r="J16" s="3">
        <f t="shared" si="1"/>
        <v>1112.8</v>
      </c>
      <c r="K16" s="3">
        <f t="shared" si="5"/>
        <v>11780.699999999999</v>
      </c>
      <c r="L16" s="11">
        <v>420</v>
      </c>
      <c r="M16" s="3">
        <f>VLOOKUP(A16,Pricing!$A$3:$B$6,2,FALSE)*L16</f>
        <v>14700</v>
      </c>
      <c r="N16">
        <f t="shared" si="2"/>
        <v>8</v>
      </c>
      <c r="O16" s="3">
        <f t="shared" si="3"/>
        <v>220.2</v>
      </c>
    </row>
    <row r="17" spans="1:15" x14ac:dyDescent="0.35">
      <c r="A17" t="s">
        <v>2</v>
      </c>
      <c r="B17" t="s">
        <v>10</v>
      </c>
      <c r="C17" s="11">
        <v>653</v>
      </c>
      <c r="D17" s="2">
        <v>1.1000000000000001</v>
      </c>
      <c r="E17" s="3">
        <v>4.25</v>
      </c>
      <c r="F17" s="3">
        <f t="shared" si="4"/>
        <v>3052.7750000000005</v>
      </c>
      <c r="G17" s="2">
        <v>1.25</v>
      </c>
      <c r="H17" s="3">
        <f t="shared" si="0"/>
        <v>13223.25</v>
      </c>
      <c r="I17" s="3">
        <v>2.6</v>
      </c>
      <c r="J17" s="3">
        <f t="shared" si="1"/>
        <v>1697.8</v>
      </c>
      <c r="K17" s="3">
        <f t="shared" si="5"/>
        <v>17973.825000000001</v>
      </c>
      <c r="L17" s="11">
        <v>614</v>
      </c>
      <c r="M17" s="3">
        <f>VLOOKUP(A17,Pricing!$A$3:$B$6,2,FALSE)*L17</f>
        <v>21490</v>
      </c>
      <c r="N17">
        <f t="shared" si="2"/>
        <v>39</v>
      </c>
      <c r="O17" s="3">
        <f t="shared" si="3"/>
        <v>1073.4750000000001</v>
      </c>
    </row>
    <row r="18" spans="1:15" x14ac:dyDescent="0.35">
      <c r="A18" t="s">
        <v>30</v>
      </c>
      <c r="B18" t="s">
        <v>13</v>
      </c>
      <c r="C18" s="11">
        <v>825</v>
      </c>
      <c r="D18" s="2">
        <v>1</v>
      </c>
      <c r="E18" s="3">
        <v>3.5</v>
      </c>
      <c r="F18" s="3">
        <f t="shared" si="4"/>
        <v>2887.5</v>
      </c>
      <c r="G18" s="2">
        <v>1</v>
      </c>
      <c r="H18" s="3">
        <f t="shared" si="0"/>
        <v>13365</v>
      </c>
      <c r="I18" s="3">
        <v>3.1</v>
      </c>
      <c r="J18" s="3">
        <f t="shared" si="1"/>
        <v>2557.5</v>
      </c>
      <c r="K18" s="3">
        <f t="shared" si="5"/>
        <v>18810</v>
      </c>
      <c r="L18" s="11">
        <v>768</v>
      </c>
      <c r="M18" s="3">
        <f>VLOOKUP(A18,Pricing!$A$3:$B$6,2,FALSE)*L18</f>
        <v>34560</v>
      </c>
      <c r="N18">
        <f t="shared" si="2"/>
        <v>57</v>
      </c>
      <c r="O18" s="3">
        <f t="shared" si="3"/>
        <v>1299.6000000000001</v>
      </c>
    </row>
    <row r="19" spans="1:15" x14ac:dyDescent="0.35">
      <c r="A19" t="s">
        <v>30</v>
      </c>
      <c r="B19" t="s">
        <v>6</v>
      </c>
      <c r="C19" s="11">
        <v>523</v>
      </c>
      <c r="D19" s="2">
        <v>1</v>
      </c>
      <c r="E19" s="3">
        <v>3.7</v>
      </c>
      <c r="F19" s="3">
        <f t="shared" si="4"/>
        <v>1935.1000000000001</v>
      </c>
      <c r="G19" s="2">
        <v>1</v>
      </c>
      <c r="H19" s="3">
        <f t="shared" si="0"/>
        <v>8472.6</v>
      </c>
      <c r="I19" s="3">
        <v>3.1</v>
      </c>
      <c r="J19" s="3">
        <f t="shared" si="1"/>
        <v>1621.3</v>
      </c>
      <c r="K19" s="3">
        <f t="shared" si="5"/>
        <v>12029</v>
      </c>
      <c r="L19" s="11">
        <v>504</v>
      </c>
      <c r="M19" s="3">
        <f>VLOOKUP(A19,Pricing!$A$3:$B$6,2,FALSE)*L19</f>
        <v>22680</v>
      </c>
      <c r="N19">
        <f t="shared" si="2"/>
        <v>19</v>
      </c>
      <c r="O19" s="3">
        <f t="shared" si="3"/>
        <v>437</v>
      </c>
    </row>
    <row r="20" spans="1:15" x14ac:dyDescent="0.35">
      <c r="A20" t="s">
        <v>30</v>
      </c>
      <c r="B20" t="s">
        <v>15</v>
      </c>
      <c r="C20" s="11">
        <v>241</v>
      </c>
      <c r="D20" s="2">
        <v>1</v>
      </c>
      <c r="E20" s="3">
        <v>3.9</v>
      </c>
      <c r="F20" s="3">
        <f t="shared" si="4"/>
        <v>939.9</v>
      </c>
      <c r="G20" s="2">
        <v>1</v>
      </c>
      <c r="H20" s="3">
        <f t="shared" si="0"/>
        <v>3904.2</v>
      </c>
      <c r="I20" s="3">
        <v>3.1</v>
      </c>
      <c r="J20" s="3">
        <f t="shared" si="1"/>
        <v>747.1</v>
      </c>
      <c r="K20" s="3">
        <f t="shared" si="5"/>
        <v>5591.2</v>
      </c>
      <c r="L20" s="11">
        <v>231</v>
      </c>
      <c r="M20" s="3">
        <f>VLOOKUP(A20,Pricing!$A$3:$B$6,2,FALSE)*L20</f>
        <v>10395</v>
      </c>
      <c r="N20">
        <f t="shared" si="2"/>
        <v>10</v>
      </c>
      <c r="O20" s="3">
        <f t="shared" si="3"/>
        <v>232</v>
      </c>
    </row>
    <row r="21" spans="1:15" x14ac:dyDescent="0.35">
      <c r="A21" t="s">
        <v>30</v>
      </c>
      <c r="B21" t="s">
        <v>7</v>
      </c>
      <c r="C21" s="11">
        <v>365</v>
      </c>
      <c r="D21" s="2">
        <v>1</v>
      </c>
      <c r="E21" s="3">
        <v>3.9</v>
      </c>
      <c r="F21" s="3">
        <f t="shared" si="4"/>
        <v>1423.5</v>
      </c>
      <c r="G21" s="2">
        <v>1</v>
      </c>
      <c r="H21" s="3">
        <f t="shared" si="0"/>
        <v>5913</v>
      </c>
      <c r="I21" s="3">
        <v>3.1</v>
      </c>
      <c r="J21" s="3">
        <f t="shared" si="1"/>
        <v>1131.5</v>
      </c>
      <c r="K21" s="3">
        <f t="shared" si="5"/>
        <v>8468</v>
      </c>
      <c r="L21" s="11">
        <v>325</v>
      </c>
      <c r="M21" s="3">
        <f>VLOOKUP(A21,Pricing!$A$3:$B$6,2,FALSE)*L21</f>
        <v>14625</v>
      </c>
      <c r="N21">
        <f t="shared" si="2"/>
        <v>40</v>
      </c>
      <c r="O21" s="3">
        <f t="shared" si="3"/>
        <v>928</v>
      </c>
    </row>
    <row r="22" spans="1:15" x14ac:dyDescent="0.35">
      <c r="A22" t="s">
        <v>30</v>
      </c>
      <c r="B22" t="s">
        <v>5</v>
      </c>
      <c r="C22" s="11">
        <v>842</v>
      </c>
      <c r="D22" s="2">
        <v>1</v>
      </c>
      <c r="E22" s="3">
        <v>3.6</v>
      </c>
      <c r="F22" s="3">
        <f t="shared" si="4"/>
        <v>3031.2000000000003</v>
      </c>
      <c r="G22" s="2">
        <v>1</v>
      </c>
      <c r="H22" s="3">
        <f t="shared" si="0"/>
        <v>13640.4</v>
      </c>
      <c r="I22" s="3">
        <v>3.1</v>
      </c>
      <c r="J22" s="3">
        <f t="shared" si="1"/>
        <v>2610.2000000000003</v>
      </c>
      <c r="K22" s="3">
        <f t="shared" si="5"/>
        <v>19281.8</v>
      </c>
      <c r="L22" s="11">
        <v>836</v>
      </c>
      <c r="M22" s="3">
        <f>VLOOKUP(A22,Pricing!$A$3:$B$6,2,FALSE)*L22</f>
        <v>37620</v>
      </c>
      <c r="N22">
        <f t="shared" si="2"/>
        <v>6</v>
      </c>
      <c r="O22" s="3">
        <f t="shared" si="3"/>
        <v>137.39999999999998</v>
      </c>
    </row>
    <row r="23" spans="1:15" x14ac:dyDescent="0.35">
      <c r="A23" t="s">
        <v>30</v>
      </c>
      <c r="B23" t="s">
        <v>16</v>
      </c>
      <c r="C23" s="11">
        <v>149</v>
      </c>
      <c r="D23" s="2">
        <v>1</v>
      </c>
      <c r="E23" s="3">
        <v>3.9</v>
      </c>
      <c r="F23" s="3">
        <f t="shared" si="4"/>
        <v>581.1</v>
      </c>
      <c r="G23" s="2">
        <v>1</v>
      </c>
      <c r="H23" s="3">
        <f t="shared" si="0"/>
        <v>2413.7999999999997</v>
      </c>
      <c r="I23" s="3">
        <v>3.1</v>
      </c>
      <c r="J23" s="3">
        <f t="shared" si="1"/>
        <v>461.90000000000003</v>
      </c>
      <c r="K23" s="3">
        <f t="shared" si="5"/>
        <v>3456.7999999999997</v>
      </c>
      <c r="L23" s="11">
        <v>130</v>
      </c>
      <c r="M23" s="3">
        <f>VLOOKUP(A23,Pricing!$A$3:$B$6,2,FALSE)*L23</f>
        <v>5850</v>
      </c>
      <c r="N23">
        <f t="shared" si="2"/>
        <v>19</v>
      </c>
      <c r="O23" s="3">
        <f t="shared" si="3"/>
        <v>440.8</v>
      </c>
    </row>
    <row r="24" spans="1:15" x14ac:dyDescent="0.35">
      <c r="C24" s="11"/>
      <c r="D24" s="2"/>
      <c r="E24" s="3"/>
      <c r="F24" s="3"/>
      <c r="H24" s="3"/>
      <c r="I24" s="3"/>
      <c r="J24" s="3"/>
      <c r="K24" s="3"/>
      <c r="L24" s="11"/>
      <c r="M24" s="3"/>
      <c r="O24" s="3"/>
    </row>
    <row r="25" spans="1:15" ht="15" thickBot="1" x14ac:dyDescent="0.4">
      <c r="A25" t="s">
        <v>29</v>
      </c>
      <c r="C25" s="18">
        <f>SUM(C6:C24)</f>
        <v>9729</v>
      </c>
      <c r="D25" s="2"/>
      <c r="E25" s="3"/>
      <c r="F25" s="15">
        <f t="shared" ref="F25:O25" si="6">SUM(F6:F24)</f>
        <v>38149.758000000002</v>
      </c>
      <c r="H25" s="15">
        <f t="shared" si="6"/>
        <v>161765.1</v>
      </c>
      <c r="I25" s="3"/>
      <c r="J25" s="15">
        <f t="shared" si="6"/>
        <v>32349.200000000001</v>
      </c>
      <c r="K25" s="15">
        <f t="shared" si="6"/>
        <v>232264.05800000002</v>
      </c>
      <c r="L25" s="18">
        <f t="shared" si="6"/>
        <v>9179</v>
      </c>
      <c r="M25" s="15">
        <f t="shared" si="6"/>
        <v>370005</v>
      </c>
      <c r="N25" s="19">
        <f t="shared" si="6"/>
        <v>550</v>
      </c>
      <c r="O25" s="15">
        <f t="shared" si="6"/>
        <v>13231.913</v>
      </c>
    </row>
    <row r="26" spans="1:15" ht="15" thickTop="1" x14ac:dyDescent="0.3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F09D-1D71-4D58-8C4D-2E8D7C38CF61}">
  <dimension ref="A1:B6"/>
  <sheetViews>
    <sheetView workbookViewId="0">
      <selection activeCell="B18" sqref="B18"/>
    </sheetView>
  </sheetViews>
  <sheetFormatPr defaultRowHeight="14.5" x14ac:dyDescent="0.35"/>
  <cols>
    <col min="1" max="1" width="19.08984375" customWidth="1"/>
    <col min="2" max="2" width="13.36328125" customWidth="1"/>
  </cols>
  <sheetData>
    <row r="1" spans="1:2" ht="19" thickBot="1" x14ac:dyDescent="0.5">
      <c r="A1" s="17" t="s">
        <v>50</v>
      </c>
    </row>
    <row r="2" spans="1:2" x14ac:dyDescent="0.35">
      <c r="A2" s="7" t="s">
        <v>31</v>
      </c>
      <c r="B2" s="8" t="s">
        <v>32</v>
      </c>
    </row>
    <row r="3" spans="1:2" x14ac:dyDescent="0.35">
      <c r="A3" s="5" t="s">
        <v>1</v>
      </c>
      <c r="B3" s="9">
        <v>35</v>
      </c>
    </row>
    <row r="4" spans="1:2" x14ac:dyDescent="0.35">
      <c r="A4" s="5" t="s">
        <v>30</v>
      </c>
      <c r="B4" s="9">
        <v>45</v>
      </c>
    </row>
    <row r="5" spans="1:2" x14ac:dyDescent="0.35">
      <c r="A5" s="5" t="s">
        <v>2</v>
      </c>
      <c r="B5" s="9">
        <v>35</v>
      </c>
    </row>
    <row r="6" spans="1:2" ht="15" thickBot="1" x14ac:dyDescent="0.4">
      <c r="A6" s="6" t="s">
        <v>55</v>
      </c>
      <c r="B6" s="10">
        <v>45</v>
      </c>
    </row>
  </sheetData>
  <sortState xmlns:xlrd2="http://schemas.microsoft.com/office/spreadsheetml/2017/richdata2" ref="A3:B6">
    <sortCondition ref="A3:A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F6EA9-8A3A-4E7A-A01B-7D9A488C4FFC}">
  <dimension ref="A1:E20"/>
  <sheetViews>
    <sheetView workbookViewId="0">
      <selection activeCell="I15" sqref="I15"/>
    </sheetView>
  </sheetViews>
  <sheetFormatPr defaultRowHeight="14.5" x14ac:dyDescent="0.35"/>
  <cols>
    <col min="1" max="1" width="24.08984375" customWidth="1"/>
    <col min="2" max="2" width="7.36328125" customWidth="1"/>
    <col min="3" max="4" width="11.08984375" bestFit="1" customWidth="1"/>
    <col min="5" max="5" width="10.7265625" customWidth="1"/>
    <col min="9" max="9" width="20.81640625" bestFit="1" customWidth="1"/>
    <col min="10" max="10" width="13.81640625" customWidth="1"/>
  </cols>
  <sheetData>
    <row r="1" spans="1:5" x14ac:dyDescent="0.35">
      <c r="A1" s="1" t="s">
        <v>47</v>
      </c>
    </row>
    <row r="2" spans="1:5" x14ac:dyDescent="0.35">
      <c r="A2" s="26" t="s">
        <v>0</v>
      </c>
      <c r="B2" s="26"/>
    </row>
    <row r="3" spans="1:5" x14ac:dyDescent="0.35">
      <c r="C3" s="25" t="s">
        <v>18</v>
      </c>
      <c r="D3" s="25" t="s">
        <v>18</v>
      </c>
    </row>
    <row r="4" spans="1:5" x14ac:dyDescent="0.35">
      <c r="A4" s="1" t="s">
        <v>17</v>
      </c>
      <c r="D4" s="3">
        <f>'Sales &amp; production information'!M25</f>
        <v>370005</v>
      </c>
    </row>
    <row r="5" spans="1:5" x14ac:dyDescent="0.35">
      <c r="A5" s="24" t="s">
        <v>39</v>
      </c>
      <c r="D5" s="3"/>
    </row>
    <row r="6" spans="1:5" x14ac:dyDescent="0.35">
      <c r="A6" t="s">
        <v>35</v>
      </c>
      <c r="C6" s="4">
        <f>'Sales &amp; production information'!F25</f>
        <v>38149.758000000002</v>
      </c>
      <c r="D6" s="3"/>
    </row>
    <row r="7" spans="1:5" x14ac:dyDescent="0.35">
      <c r="A7" t="s">
        <v>36</v>
      </c>
      <c r="C7" s="4">
        <f>'Sales &amp; production information'!H25</f>
        <v>161765.1</v>
      </c>
      <c r="D7" s="3"/>
    </row>
    <row r="8" spans="1:5" x14ac:dyDescent="0.35">
      <c r="A8" t="s">
        <v>38</v>
      </c>
      <c r="C8" s="12">
        <f>'Sales &amp; production information'!J25</f>
        <v>32349.200000000001</v>
      </c>
      <c r="D8" s="3"/>
    </row>
    <row r="9" spans="1:5" x14ac:dyDescent="0.35">
      <c r="A9" s="24" t="s">
        <v>56</v>
      </c>
      <c r="C9" s="4">
        <f>SUM(C6:C8)</f>
        <v>232264.05800000002</v>
      </c>
      <c r="D9" s="3"/>
      <c r="E9" t="str">
        <f>IF(C9='Sales &amp; production information'!K25,"ok","Check")</f>
        <v>ok</v>
      </c>
    </row>
    <row r="10" spans="1:5" x14ac:dyDescent="0.35">
      <c r="A10" t="s">
        <v>40</v>
      </c>
      <c r="C10" s="12">
        <f>'Sales &amp; production information'!O25</f>
        <v>13231.913</v>
      </c>
      <c r="D10" s="3"/>
    </row>
    <row r="11" spans="1:5" x14ac:dyDescent="0.35">
      <c r="A11" s="24"/>
      <c r="C11" s="4">
        <f>C9-C10</f>
        <v>219032.14500000002</v>
      </c>
      <c r="D11" s="3"/>
    </row>
    <row r="12" spans="1:5" x14ac:dyDescent="0.35">
      <c r="A12" t="s">
        <v>41</v>
      </c>
      <c r="C12" s="13">
        <v>36500</v>
      </c>
      <c r="D12" s="3"/>
    </row>
    <row r="13" spans="1:5" x14ac:dyDescent="0.35">
      <c r="A13" s="1" t="s">
        <v>42</v>
      </c>
      <c r="D13" s="13">
        <f>C11+C12</f>
        <v>255532.14500000002</v>
      </c>
    </row>
    <row r="14" spans="1:5" x14ac:dyDescent="0.35">
      <c r="A14" s="1" t="s">
        <v>43</v>
      </c>
      <c r="D14" s="3">
        <f>D4-D13</f>
        <v>114472.85499999998</v>
      </c>
      <c r="E14" s="14">
        <f>D14/D4</f>
        <v>0.30938191375792212</v>
      </c>
    </row>
    <row r="15" spans="1:5" x14ac:dyDescent="0.35">
      <c r="A15" s="24" t="s">
        <v>52</v>
      </c>
      <c r="D15" s="3"/>
      <c r="E15" s="14"/>
    </row>
    <row r="16" spans="1:5" x14ac:dyDescent="0.35">
      <c r="A16" t="s">
        <v>53</v>
      </c>
      <c r="D16" s="3">
        <v>18352</v>
      </c>
    </row>
    <row r="17" spans="1:4" x14ac:dyDescent="0.35">
      <c r="A17" t="s">
        <v>44</v>
      </c>
      <c r="D17" s="3">
        <v>13695</v>
      </c>
    </row>
    <row r="18" spans="1:4" x14ac:dyDescent="0.35">
      <c r="A18" t="s">
        <v>45</v>
      </c>
      <c r="D18" s="3">
        <v>13800</v>
      </c>
    </row>
    <row r="19" spans="1:4" ht="15" thickBot="1" x14ac:dyDescent="0.4">
      <c r="A19" s="1" t="s">
        <v>46</v>
      </c>
      <c r="D19" s="15">
        <f>+D14-D16-D17-D18</f>
        <v>68625.854999999981</v>
      </c>
    </row>
    <row r="20" spans="1:4" ht="15" thickTop="1" x14ac:dyDescent="0.35"/>
  </sheetData>
  <sortState xmlns:xlrd2="http://schemas.microsoft.com/office/spreadsheetml/2017/richdata2" ref="I3:J6">
    <sortCondition ref="I3:I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Sales &amp; production information</vt:lpstr>
      <vt:lpstr>Pricing</vt:lpstr>
      <vt:lpstr>Marginal cost statement 30Jun-9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dcterms:created xsi:type="dcterms:W3CDTF">2021-06-18T09:29:24Z</dcterms:created>
  <dcterms:modified xsi:type="dcterms:W3CDTF">2021-10-05T09:30:02Z</dcterms:modified>
</cp:coreProperties>
</file>