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Chapter 6 Marginal, absorption and ABC\"/>
    </mc:Choice>
  </mc:AlternateContent>
  <xr:revisionPtr revIDLastSave="0" documentId="13_ncr:1_{670C5B5A-9433-4DC6-9387-0498A629D68A}" xr6:coauthVersionLast="47" xr6:coauthVersionMax="47" xr10:uidLastSave="{00000000-0000-0000-0000-000000000000}"/>
  <bookViews>
    <workbookView xWindow="28680" yWindow="-120" windowWidth="29040" windowHeight="15840" activeTab="1" xr2:uid="{D24365EC-CCEE-4FA8-83A2-209F5ED8C616}"/>
  </bookViews>
  <sheets>
    <sheet name="6.3 Robin Roller profit" sheetId="5" r:id="rId1"/>
    <sheet name="6.6 Absorption vs ABC cost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5" l="1"/>
  <c r="G11" i="5"/>
  <c r="E11" i="5"/>
  <c r="G7" i="5"/>
  <c r="E7" i="5"/>
  <c r="E8" i="5" s="1"/>
  <c r="G6" i="5"/>
  <c r="G12" i="5" s="1"/>
  <c r="E6" i="5"/>
  <c r="H4" i="5"/>
  <c r="F4" i="5"/>
  <c r="G13" i="5" l="1"/>
  <c r="H14" i="5" s="1"/>
  <c r="H15" i="5" s="1"/>
  <c r="H17" i="5" s="1"/>
  <c r="F18" i="5" s="1"/>
  <c r="E9" i="5"/>
  <c r="F14" i="5" s="1"/>
  <c r="F15" i="5" s="1"/>
  <c r="F17" i="5" s="1"/>
  <c r="C39" i="1" l="1"/>
  <c r="B39" i="1"/>
  <c r="D39" i="1"/>
  <c r="I24" i="1"/>
  <c r="J24" i="1"/>
  <c r="H24" i="1"/>
  <c r="C23" i="1"/>
  <c r="D23" i="1"/>
  <c r="B23" i="1"/>
  <c r="I30" i="1"/>
  <c r="J30" i="1"/>
  <c r="B30" i="1"/>
  <c r="H30" i="1" s="1"/>
  <c r="D9" i="1"/>
  <c r="C9" i="1"/>
  <c r="B9" i="1"/>
  <c r="B12" i="1"/>
  <c r="B15" i="1" s="1"/>
  <c r="H27" i="1" l="1"/>
  <c r="B27" i="1"/>
  <c r="C12" i="1"/>
  <c r="D12" i="1"/>
  <c r="B20" i="1"/>
  <c r="E11" i="1"/>
  <c r="E9" i="1"/>
  <c r="I20" i="1" l="1"/>
  <c r="H20" i="1"/>
  <c r="J20" i="1"/>
  <c r="I22" i="1"/>
  <c r="H22" i="1"/>
  <c r="J22" i="1"/>
  <c r="D27" i="1"/>
  <c r="J27" i="1"/>
  <c r="C15" i="1"/>
  <c r="C27" i="1"/>
  <c r="I27" i="1"/>
  <c r="D20" i="1"/>
  <c r="D15" i="1"/>
  <c r="C20" i="1"/>
  <c r="E12" i="1"/>
  <c r="E10" i="1"/>
  <c r="K20" i="1" l="1"/>
  <c r="K22" i="1"/>
  <c r="E20" i="1"/>
  <c r="E15" i="1"/>
  <c r="H7" i="1" l="1"/>
  <c r="E22" i="1" s="1"/>
  <c r="H21" i="1"/>
  <c r="I21" i="1"/>
  <c r="I23" i="1" s="1"/>
  <c r="I31" i="1" s="1"/>
  <c r="I32" i="1" s="1"/>
  <c r="I33" i="1" s="1"/>
  <c r="I34" i="1" s="1"/>
  <c r="J21" i="1"/>
  <c r="J23" i="1" s="1"/>
  <c r="J31" i="1" s="1"/>
  <c r="J32" i="1" s="1"/>
  <c r="J33" i="1" s="1"/>
  <c r="J34" i="1" s="1"/>
  <c r="C31" i="1" l="1"/>
  <c r="C32" i="1" s="1"/>
  <c r="C33" i="1" s="1"/>
  <c r="C34" i="1" s="1"/>
  <c r="D31" i="1"/>
  <c r="D32" i="1" s="1"/>
  <c r="D33" i="1" s="1"/>
  <c r="D34" i="1" s="1"/>
  <c r="K21" i="1"/>
  <c r="K23" i="1" s="1"/>
  <c r="H23" i="1"/>
  <c r="H31" i="1" s="1"/>
  <c r="H32" i="1" s="1"/>
  <c r="H33" i="1" s="1"/>
  <c r="H34" i="1" s="1"/>
  <c r="B31" i="1"/>
  <c r="B32" i="1" s="1"/>
  <c r="B33" i="1" s="1"/>
  <c r="B34" i="1" s="1"/>
</calcChain>
</file>

<file path=xl/sharedStrings.xml><?xml version="1.0" encoding="utf-8"?>
<sst xmlns="http://schemas.openxmlformats.org/spreadsheetml/2006/main" count="95" uniqueCount="59">
  <si>
    <t>Set up costs</t>
  </si>
  <si>
    <t>Quality inspection costs</t>
  </si>
  <si>
    <t>Batches</t>
  </si>
  <si>
    <t>Set ups</t>
  </si>
  <si>
    <t>Issues of materials from raw materials stores</t>
  </si>
  <si>
    <t>Quality inspections</t>
  </si>
  <si>
    <t>Total</t>
  </si>
  <si>
    <t>£</t>
  </si>
  <si>
    <t>Raw material stores costs</t>
  </si>
  <si>
    <t>Batch size</t>
  </si>
  <si>
    <t>No of items produced</t>
  </si>
  <si>
    <t>Budgeted production overhead costs</t>
  </si>
  <si>
    <t>Overhead per product</t>
  </si>
  <si>
    <t>Production overhead (absorption)</t>
  </si>
  <si>
    <t>Production cost</t>
  </si>
  <si>
    <t>Current price</t>
  </si>
  <si>
    <t>Product costs</t>
  </si>
  <si>
    <t>Total variable cost</t>
  </si>
  <si>
    <t>Production information</t>
  </si>
  <si>
    <t>Absorption overhead calculations</t>
  </si>
  <si>
    <t>Suggested price</t>
  </si>
  <si>
    <t>Sales price per unit</t>
  </si>
  <si>
    <t>Materials cost per unit</t>
  </si>
  <si>
    <t xml:space="preserve">Fixed production overheads </t>
  </si>
  <si>
    <t>Marginal cost statement</t>
  </si>
  <si>
    <t>Absorption cost statement</t>
  </si>
  <si>
    <t>Variable costs</t>
  </si>
  <si>
    <t>Materials</t>
  </si>
  <si>
    <t>Fixed production overheads</t>
  </si>
  <si>
    <t>TJ Trampolines Ltd</t>
  </si>
  <si>
    <t>Quarter ending 30 September 20-6</t>
  </si>
  <si>
    <t>Bounce</t>
  </si>
  <si>
    <t>Bounce Plus</t>
  </si>
  <si>
    <t>Bounce Xtra</t>
  </si>
  <si>
    <t>ABC overhead calculations</t>
  </si>
  <si>
    <t>Absorption costing - per product</t>
  </si>
  <si>
    <t>ABC Costing - per product</t>
  </si>
  <si>
    <t>Margin 25%</t>
  </si>
  <si>
    <t>Production overhead (ABC)</t>
  </si>
  <si>
    <t>Overhead absorption rate per machine hour</t>
  </si>
  <si>
    <t>Machine hours for production, hrs</t>
  </si>
  <si>
    <t>Machine hours per product, hrs</t>
  </si>
  <si>
    <t>Machine hours per item, hrs</t>
  </si>
  <si>
    <t>Total machine hours, hrs</t>
  </si>
  <si>
    <t xml:space="preserve">Proposed increase to pricing </t>
  </si>
  <si>
    <t>Less: Non-production overheads</t>
  </si>
  <si>
    <t>Labour</t>
  </si>
  <si>
    <t xml:space="preserve">Robin Rollers Ltd </t>
  </si>
  <si>
    <t>Labour cost per unit</t>
  </si>
  <si>
    <t>Robin Roller</t>
  </si>
  <si>
    <t>Year ended 31 December 20-3</t>
  </si>
  <si>
    <t>Robin Rollers produced, units</t>
  </si>
  <si>
    <t>Robin Rollers sold, units</t>
  </si>
  <si>
    <t>Sales Revenue</t>
  </si>
  <si>
    <t xml:space="preserve">Less: Closing inventory </t>
  </si>
  <si>
    <t>Less: Cost of Sales</t>
  </si>
  <si>
    <t>Gross Profit</t>
  </si>
  <si>
    <t>Net Profit</t>
  </si>
  <si>
    <t>Overhead absorbed into closing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</si>
</sst>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_-* #,##0_-;\-* #,##0_-;_-* &quot;-&quot;??_-;_-@_-"/>
    <numFmt numFmtId="165" formatCode="&quot;£&quot;#,##0.00"/>
    <numFmt numFmtId="166" formatCode="&quot;£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0" fillId="0" borderId="0" xfId="1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4" fillId="0" borderId="0" xfId="1" applyNumberFormat="1" applyFont="1"/>
    <xf numFmtId="164" fontId="4" fillId="0" borderId="1" xfId="1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164" fontId="4" fillId="0" borderId="4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Fill="1" applyBorder="1"/>
    <xf numFmtId="0" fontId="4" fillId="0" borderId="0" xfId="0" applyFont="1" applyFill="1" applyBorder="1"/>
    <xf numFmtId="165" fontId="4" fillId="0" borderId="0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5" fontId="4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5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8" xfId="0" applyFont="1" applyBorder="1" applyAlignment="1">
      <alignment horizontal="center"/>
    </xf>
    <xf numFmtId="164" fontId="4" fillId="0" borderId="11" xfId="1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164" fontId="4" fillId="0" borderId="12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right"/>
    </xf>
    <xf numFmtId="165" fontId="4" fillId="0" borderId="11" xfId="1" applyNumberFormat="1" applyFont="1" applyBorder="1" applyAlignment="1">
      <alignment horizontal="right"/>
    </xf>
    <xf numFmtId="165" fontId="4" fillId="0" borderId="12" xfId="1" applyNumberFormat="1" applyFont="1" applyFill="1" applyBorder="1" applyAlignment="1">
      <alignment horizontal="right"/>
    </xf>
    <xf numFmtId="165" fontId="4" fillId="0" borderId="6" xfId="1" applyNumberFormat="1" applyFont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4" fillId="3" borderId="3" xfId="0" applyFont="1" applyFill="1" applyBorder="1"/>
    <xf numFmtId="164" fontId="4" fillId="3" borderId="11" xfId="0" applyNumberFormat="1" applyFont="1" applyFill="1" applyBorder="1"/>
    <xf numFmtId="0" fontId="4" fillId="3" borderId="11" xfId="0" applyFont="1" applyFill="1" applyBorder="1"/>
    <xf numFmtId="0" fontId="7" fillId="3" borderId="3" xfId="0" applyFont="1" applyFill="1" applyBorder="1"/>
    <xf numFmtId="0" fontId="4" fillId="3" borderId="11" xfId="0" applyFont="1" applyFill="1" applyBorder="1" applyAlignment="1">
      <alignment horizontal="center"/>
    </xf>
    <xf numFmtId="2" fontId="4" fillId="3" borderId="11" xfId="0" applyNumberFormat="1" applyFont="1" applyFill="1" applyBorder="1"/>
    <xf numFmtId="0" fontId="3" fillId="4" borderId="9" xfId="0" applyFont="1" applyFill="1" applyBorder="1" applyAlignment="1"/>
    <xf numFmtId="0" fontId="3" fillId="4" borderId="8" xfId="0" applyFont="1" applyFill="1" applyBorder="1" applyAlignment="1">
      <alignment horizontal="center" wrapText="1"/>
    </xf>
    <xf numFmtId="0" fontId="4" fillId="4" borderId="3" xfId="0" applyFont="1" applyFill="1" applyBorder="1"/>
    <xf numFmtId="164" fontId="4" fillId="4" borderId="11" xfId="0" applyNumberFormat="1" applyFont="1" applyFill="1" applyBorder="1"/>
    <xf numFmtId="0" fontId="4" fillId="4" borderId="11" xfId="0" applyFont="1" applyFill="1" applyBorder="1"/>
    <xf numFmtId="0" fontId="7" fillId="4" borderId="3" xfId="0" applyFont="1" applyFill="1" applyBorder="1"/>
    <xf numFmtId="0" fontId="4" fillId="4" borderId="11" xfId="0" applyFont="1" applyFill="1" applyBorder="1" applyAlignment="1">
      <alignment horizontal="center"/>
    </xf>
    <xf numFmtId="2" fontId="4" fillId="4" borderId="11" xfId="0" applyNumberFormat="1" applyFont="1" applyFill="1" applyBorder="1"/>
    <xf numFmtId="0" fontId="4" fillId="4" borderId="5" xfId="0" applyFont="1" applyFill="1" applyBorder="1"/>
    <xf numFmtId="0" fontId="4" fillId="4" borderId="12" xfId="0" applyFont="1" applyFill="1" applyBorder="1"/>
    <xf numFmtId="0" fontId="3" fillId="0" borderId="10" xfId="0" applyFont="1" applyBorder="1" applyAlignment="1">
      <alignment horizontal="center" wrapText="1"/>
    </xf>
    <xf numFmtId="165" fontId="4" fillId="0" borderId="12" xfId="0" applyNumberFormat="1" applyFont="1" applyFill="1" applyBorder="1"/>
    <xf numFmtId="165" fontId="4" fillId="0" borderId="12" xfId="0" applyNumberFormat="1" applyFont="1" applyBorder="1"/>
    <xf numFmtId="166" fontId="6" fillId="0" borderId="11" xfId="1" applyNumberFormat="1" applyFont="1" applyBorder="1"/>
    <xf numFmtId="166" fontId="6" fillId="0" borderId="3" xfId="1" applyNumberFormat="1" applyFont="1" applyBorder="1"/>
    <xf numFmtId="166" fontId="6" fillId="0" borderId="12" xfId="1" applyNumberFormat="1" applyFont="1" applyBorder="1"/>
    <xf numFmtId="166" fontId="6" fillId="0" borderId="14" xfId="1" applyNumberFormat="1" applyFont="1" applyBorder="1"/>
    <xf numFmtId="0" fontId="3" fillId="4" borderId="3" xfId="0" applyFont="1" applyFill="1" applyBorder="1"/>
    <xf numFmtId="2" fontId="3" fillId="4" borderId="11" xfId="0" applyNumberFormat="1" applyFont="1" applyFill="1" applyBorder="1"/>
    <xf numFmtId="0" fontId="3" fillId="3" borderId="5" xfId="0" applyFont="1" applyFill="1" applyBorder="1"/>
    <xf numFmtId="2" fontId="3" fillId="3" borderId="12" xfId="0" applyNumberFormat="1" applyFont="1" applyFill="1" applyBorder="1"/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3" fillId="2" borderId="5" xfId="0" applyFont="1" applyFill="1" applyBorder="1"/>
    <xf numFmtId="0" fontId="3" fillId="2" borderId="15" xfId="0" applyFont="1" applyFill="1" applyBorder="1"/>
    <xf numFmtId="165" fontId="3" fillId="2" borderId="16" xfId="0" applyNumberFormat="1" applyFont="1" applyFill="1" applyBorder="1"/>
    <xf numFmtId="165" fontId="3" fillId="2" borderId="17" xfId="0" applyNumberFormat="1" applyFont="1" applyFill="1" applyBorder="1"/>
    <xf numFmtId="165" fontId="3" fillId="2" borderId="2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10" xfId="1" applyNumberFormat="1" applyFont="1" applyFill="1" applyBorder="1"/>
    <xf numFmtId="0" fontId="0" fillId="0" borderId="13" xfId="0" applyBorder="1"/>
    <xf numFmtId="0" fontId="0" fillId="0" borderId="11" xfId="0" applyBorder="1"/>
    <xf numFmtId="0" fontId="2" fillId="0" borderId="11" xfId="0" applyFont="1" applyBorder="1"/>
    <xf numFmtId="0" fontId="9" fillId="0" borderId="11" xfId="0" applyFont="1" applyBorder="1"/>
    <xf numFmtId="164" fontId="0" fillId="5" borderId="3" xfId="0" applyNumberFormat="1" applyFill="1" applyBorder="1"/>
    <xf numFmtId="164" fontId="0" fillId="5" borderId="5" xfId="0" applyNumberFormat="1" applyFill="1" applyBorder="1"/>
    <xf numFmtId="164" fontId="0" fillId="3" borderId="3" xfId="0" applyNumberFormat="1" applyFill="1" applyBorder="1"/>
    <xf numFmtId="0" fontId="0" fillId="3" borderId="3" xfId="0" applyFill="1" applyBorder="1"/>
    <xf numFmtId="164" fontId="0" fillId="3" borderId="5" xfId="0" applyNumberFormat="1" applyFill="1" applyBorder="1"/>
    <xf numFmtId="164" fontId="0" fillId="3" borderId="4" xfId="0" applyNumberFormat="1" applyFill="1" applyBorder="1"/>
    <xf numFmtId="164" fontId="0" fillId="5" borderId="4" xfId="0" applyNumberFormat="1" applyFill="1" applyBorder="1"/>
    <xf numFmtId="164" fontId="0" fillId="0" borderId="17" xfId="1" applyNumberFormat="1" applyFont="1" applyFill="1" applyBorder="1"/>
    <xf numFmtId="164" fontId="9" fillId="6" borderId="10" xfId="0" applyNumberFormat="1" applyFont="1" applyFill="1" applyBorder="1"/>
    <xf numFmtId="8" fontId="8" fillId="0" borderId="9" xfId="0" applyNumberFormat="1" applyFont="1" applyBorder="1" applyAlignment="1">
      <alignment horizontal="center"/>
    </xf>
    <xf numFmtId="8" fontId="8" fillId="0" borderId="7" xfId="0" applyNumberFormat="1" applyFont="1" applyBorder="1" applyAlignment="1">
      <alignment horizontal="center"/>
    </xf>
    <xf numFmtId="8" fontId="8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5" borderId="4" xfId="0" applyFill="1" applyBorder="1"/>
    <xf numFmtId="0" fontId="0" fillId="3" borderId="4" xfId="0" applyFill="1" applyBorder="1"/>
    <xf numFmtId="166" fontId="0" fillId="0" borderId="0" xfId="0" applyNumberFormat="1"/>
    <xf numFmtId="8" fontId="0" fillId="0" borderId="0" xfId="0" applyNumberFormat="1"/>
    <xf numFmtId="6" fontId="0" fillId="0" borderId="0" xfId="0" applyNumberFormat="1"/>
    <xf numFmtId="0" fontId="0" fillId="5" borderId="6" xfId="0" applyFill="1" applyBorder="1"/>
    <xf numFmtId="0" fontId="0" fillId="3" borderId="6" xfId="0" applyFill="1" applyBorder="1"/>
    <xf numFmtId="0" fontId="0" fillId="5" borderId="3" xfId="0" applyFill="1" applyBorder="1"/>
    <xf numFmtId="0" fontId="0" fillId="0" borderId="5" xfId="0" applyBorder="1"/>
    <xf numFmtId="0" fontId="9" fillId="0" borderId="9" xfId="0" applyFont="1" applyBorder="1" applyAlignment="1">
      <alignment wrapText="1"/>
    </xf>
    <xf numFmtId="0" fontId="9" fillId="0" borderId="7" xfId="0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41A6-034F-4926-AC65-EED9F5B0EAB6}">
  <dimension ref="A1:H19"/>
  <sheetViews>
    <sheetView showFormulas="1" zoomScale="110" zoomScaleNormal="110" workbookViewId="0">
      <selection activeCell="R29" sqref="R29"/>
    </sheetView>
  </sheetViews>
  <sheetFormatPr defaultRowHeight="14.5" x14ac:dyDescent="0.35"/>
  <cols>
    <col min="1" max="1" width="12.7265625" customWidth="1"/>
    <col min="2" max="2" width="4.08984375" customWidth="1"/>
    <col min="3" max="3" width="3.36328125" customWidth="1"/>
    <col min="4" max="4" width="19" customWidth="1"/>
    <col min="5" max="5" width="7" bestFit="1" customWidth="1"/>
    <col min="6" max="6" width="5.26953125" bestFit="1" customWidth="1"/>
    <col min="7" max="7" width="7.6328125" bestFit="1" customWidth="1"/>
    <col min="8" max="8" width="4.54296875" bestFit="1" customWidth="1"/>
  </cols>
  <sheetData>
    <row r="1" spans="1:8" ht="15.5" x14ac:dyDescent="0.35">
      <c r="A1" s="1" t="s">
        <v>47</v>
      </c>
      <c r="D1" s="93" t="s">
        <v>49</v>
      </c>
      <c r="E1" s="94"/>
      <c r="F1" s="94"/>
      <c r="G1" s="94"/>
      <c r="H1" s="95"/>
    </row>
    <row r="2" spans="1:8" ht="14.5" customHeight="1" x14ac:dyDescent="0.35">
      <c r="A2" s="1" t="s">
        <v>50</v>
      </c>
      <c r="D2" s="80"/>
      <c r="E2" s="96" t="s">
        <v>24</v>
      </c>
      <c r="F2" s="97"/>
      <c r="G2" s="96" t="s">
        <v>25</v>
      </c>
      <c r="H2" s="97"/>
    </row>
    <row r="3" spans="1:8" x14ac:dyDescent="0.35">
      <c r="D3" s="81"/>
      <c r="E3" s="98" t="s">
        <v>7</v>
      </c>
      <c r="F3" s="99" t="s">
        <v>7</v>
      </c>
      <c r="G3" s="98" t="s">
        <v>7</v>
      </c>
      <c r="H3" s="99" t="s">
        <v>7</v>
      </c>
    </row>
    <row r="4" spans="1:8" x14ac:dyDescent="0.35">
      <c r="A4" t="s">
        <v>51</v>
      </c>
      <c r="B4" s="2">
        <v>50000</v>
      </c>
      <c r="C4" s="2"/>
      <c r="D4" s="82" t="s">
        <v>53</v>
      </c>
      <c r="E4" s="100"/>
      <c r="F4" s="101">
        <f>B5*B7</f>
        <v>2850000</v>
      </c>
      <c r="G4" s="100"/>
      <c r="H4" s="101">
        <f>B5*B7</f>
        <v>2850000</v>
      </c>
    </row>
    <row r="5" spans="1:8" x14ac:dyDescent="0.35">
      <c r="A5" t="s">
        <v>52</v>
      </c>
      <c r="B5" s="2">
        <v>47500</v>
      </c>
      <c r="C5" s="2"/>
      <c r="D5" s="83" t="s">
        <v>26</v>
      </c>
      <c r="E5" s="100"/>
      <c r="F5" s="102"/>
      <c r="G5" s="100"/>
      <c r="H5" s="102"/>
    </row>
    <row r="6" spans="1:8" x14ac:dyDescent="0.35">
      <c r="D6" s="81" t="s">
        <v>27</v>
      </c>
      <c r="E6" s="84">
        <f>B8*B4</f>
        <v>750000</v>
      </c>
      <c r="F6" s="103"/>
      <c r="G6" s="86">
        <f>B8*B4</f>
        <v>750000</v>
      </c>
      <c r="H6" s="104"/>
    </row>
    <row r="7" spans="1:8" x14ac:dyDescent="0.35">
      <c r="A7" t="s">
        <v>21</v>
      </c>
      <c r="B7" s="105">
        <v>60</v>
      </c>
      <c r="C7" s="105"/>
      <c r="D7" s="81" t="s">
        <v>46</v>
      </c>
      <c r="E7" s="85">
        <f>B9*B4</f>
        <v>850000</v>
      </c>
      <c r="F7" s="103"/>
      <c r="G7" s="86">
        <f>B9*B4</f>
        <v>850000</v>
      </c>
      <c r="H7" s="104"/>
    </row>
    <row r="8" spans="1:8" x14ac:dyDescent="0.35">
      <c r="A8" t="s">
        <v>22</v>
      </c>
      <c r="B8" s="105">
        <v>15</v>
      </c>
      <c r="C8" s="105"/>
      <c r="D8" s="81"/>
      <c r="E8" s="84">
        <f>E7+E6</f>
        <v>1600000</v>
      </c>
      <c r="F8" s="103"/>
      <c r="G8" s="87"/>
      <c r="H8" s="104"/>
    </row>
    <row r="9" spans="1:8" x14ac:dyDescent="0.35">
      <c r="A9" t="s">
        <v>48</v>
      </c>
      <c r="B9" s="105">
        <v>17</v>
      </c>
      <c r="C9" s="105"/>
      <c r="D9" s="81" t="s">
        <v>54</v>
      </c>
      <c r="E9" s="84">
        <f>E8/B4*(B4-B5)</f>
        <v>80000</v>
      </c>
      <c r="F9" s="103"/>
      <c r="G9" s="87"/>
      <c r="H9" s="104"/>
    </row>
    <row r="10" spans="1:8" x14ac:dyDescent="0.35">
      <c r="B10" s="106"/>
      <c r="C10" s="106"/>
      <c r="D10" s="81"/>
      <c r="E10" s="84"/>
      <c r="F10" s="103"/>
      <c r="G10" s="87"/>
      <c r="H10" s="104"/>
    </row>
    <row r="11" spans="1:8" x14ac:dyDescent="0.35">
      <c r="A11" t="s">
        <v>23</v>
      </c>
      <c r="B11" s="107">
        <v>325800</v>
      </c>
      <c r="C11" s="107"/>
      <c r="D11" s="81" t="s">
        <v>28</v>
      </c>
      <c r="E11" s="84">
        <f>B11</f>
        <v>325800</v>
      </c>
      <c r="F11" s="103"/>
      <c r="G11" s="88">
        <f>B11</f>
        <v>325800</v>
      </c>
      <c r="H11" s="104"/>
    </row>
    <row r="12" spans="1:8" x14ac:dyDescent="0.35">
      <c r="D12" s="81"/>
      <c r="E12" s="84"/>
      <c r="F12" s="103"/>
      <c r="G12" s="86">
        <f>SUM(G6:G11)</f>
        <v>1925800</v>
      </c>
      <c r="H12" s="104"/>
    </row>
    <row r="13" spans="1:8" ht="29" customHeight="1" x14ac:dyDescent="0.35">
      <c r="D13" s="81" t="s">
        <v>54</v>
      </c>
      <c r="E13" s="84"/>
      <c r="F13" s="108"/>
      <c r="G13" s="86">
        <f>G12/B4*(B4-B5)</f>
        <v>96290</v>
      </c>
      <c r="H13" s="109"/>
    </row>
    <row r="14" spans="1:8" x14ac:dyDescent="0.35">
      <c r="D14" s="82" t="s">
        <v>55</v>
      </c>
      <c r="E14" s="110"/>
      <c r="F14" s="90">
        <f>E8-E9+E11</f>
        <v>1845800</v>
      </c>
      <c r="G14" s="86"/>
      <c r="H14" s="89">
        <f>G12-G13</f>
        <v>1829510</v>
      </c>
    </row>
    <row r="15" spans="1:8" x14ac:dyDescent="0.35">
      <c r="D15" s="82" t="s">
        <v>56</v>
      </c>
      <c r="E15" s="100"/>
      <c r="F15" s="101">
        <f>F4-F14</f>
        <v>1004200</v>
      </c>
      <c r="G15" s="100"/>
      <c r="H15" s="101">
        <f>H4-H14</f>
        <v>1020490</v>
      </c>
    </row>
    <row r="16" spans="1:8" x14ac:dyDescent="0.35">
      <c r="D16" s="81" t="s">
        <v>45</v>
      </c>
      <c r="E16" s="78"/>
      <c r="F16" s="101">
        <v>479700</v>
      </c>
      <c r="G16" s="78"/>
      <c r="H16" s="101">
        <f>F16</f>
        <v>479700</v>
      </c>
    </row>
    <row r="17" spans="4:8" x14ac:dyDescent="0.35">
      <c r="D17" s="82" t="s">
        <v>57</v>
      </c>
      <c r="E17" s="100"/>
      <c r="F17" s="91">
        <f>F15-F16</f>
        <v>524500</v>
      </c>
      <c r="G17" s="111"/>
      <c r="H17" s="79">
        <f>H15-H16</f>
        <v>540790</v>
      </c>
    </row>
    <row r="18" spans="4:8" ht="29" x14ac:dyDescent="0.35">
      <c r="D18" s="112" t="s">
        <v>58</v>
      </c>
      <c r="E18" s="113"/>
      <c r="F18" s="92">
        <f>H17-F17</f>
        <v>16290</v>
      </c>
      <c r="H18" s="114"/>
    </row>
    <row r="19" spans="4:8" x14ac:dyDescent="0.35">
      <c r="H19" s="114"/>
    </row>
  </sheetData>
  <mergeCells count="3">
    <mergeCell ref="D1:H1"/>
    <mergeCell ref="E2:F2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F072-EE27-4EC4-A6F1-420B5F70B1F7}">
  <dimension ref="A1:M42"/>
  <sheetViews>
    <sheetView tabSelected="1" zoomScale="90" zoomScaleNormal="90" workbookViewId="0">
      <selection activeCell="A39" sqref="A39"/>
    </sheetView>
  </sheetViews>
  <sheetFormatPr defaultRowHeight="14" x14ac:dyDescent="0.3"/>
  <cols>
    <col min="1" max="1" width="45.08984375" style="4" customWidth="1"/>
    <col min="2" max="2" width="23.54296875" style="4" bestFit="1" customWidth="1"/>
    <col min="3" max="3" width="22.54296875" style="4" bestFit="1" customWidth="1"/>
    <col min="4" max="4" width="25.1796875" style="4" bestFit="1" customWidth="1"/>
    <col min="5" max="5" width="11.08984375" style="4" bestFit="1" customWidth="1"/>
    <col min="6" max="6" width="8.7265625" style="4"/>
    <col min="7" max="7" width="38.90625" style="4" customWidth="1"/>
    <col min="8" max="8" width="12.81640625" style="4" customWidth="1"/>
    <col min="9" max="9" width="12.08984375" style="4" customWidth="1"/>
    <col min="10" max="10" width="11.453125" style="4" customWidth="1"/>
    <col min="11" max="11" width="14.26953125" style="4" customWidth="1"/>
    <col min="12" max="16384" width="8.7265625" style="4"/>
  </cols>
  <sheetData>
    <row r="1" spans="1:8" x14ac:dyDescent="0.3">
      <c r="A1" s="3" t="s">
        <v>29</v>
      </c>
    </row>
    <row r="2" spans="1:8" x14ac:dyDescent="0.3">
      <c r="A2" s="3" t="s">
        <v>30</v>
      </c>
    </row>
    <row r="3" spans="1:8" x14ac:dyDescent="0.3">
      <c r="G3" s="3" t="s">
        <v>11</v>
      </c>
      <c r="H3" s="5" t="s">
        <v>7</v>
      </c>
    </row>
    <row r="4" spans="1:8" ht="28" x14ac:dyDescent="0.3">
      <c r="A4" s="24" t="s">
        <v>18</v>
      </c>
      <c r="B4" s="27" t="s">
        <v>31</v>
      </c>
      <c r="C4" s="31" t="s">
        <v>32</v>
      </c>
      <c r="D4" s="31" t="s">
        <v>33</v>
      </c>
      <c r="E4" s="23" t="s">
        <v>6</v>
      </c>
      <c r="G4" s="4" t="s">
        <v>0</v>
      </c>
      <c r="H4" s="6">
        <v>101250</v>
      </c>
    </row>
    <row r="5" spans="1:8" x14ac:dyDescent="0.3">
      <c r="A5" s="25"/>
      <c r="B5" s="25"/>
      <c r="C5" s="25"/>
      <c r="D5" s="25"/>
      <c r="E5" s="11"/>
      <c r="G5" s="4" t="s">
        <v>8</v>
      </c>
      <c r="H5" s="6">
        <v>132720</v>
      </c>
    </row>
    <row r="6" spans="1:8" x14ac:dyDescent="0.3">
      <c r="A6" s="25"/>
      <c r="B6" s="25"/>
      <c r="C6" s="25"/>
      <c r="D6" s="25"/>
      <c r="E6" s="11"/>
      <c r="G6" s="4" t="s">
        <v>1</v>
      </c>
      <c r="H6" s="6">
        <v>99000</v>
      </c>
    </row>
    <row r="7" spans="1:8" ht="14.5" thickBot="1" x14ac:dyDescent="0.35">
      <c r="A7" s="25" t="s">
        <v>2</v>
      </c>
      <c r="B7" s="28">
        <v>50</v>
      </c>
      <c r="C7" s="28">
        <v>15</v>
      </c>
      <c r="D7" s="28">
        <v>10</v>
      </c>
      <c r="E7" s="12"/>
      <c r="H7" s="7">
        <f>SUM(H4:H6)</f>
        <v>332970</v>
      </c>
    </row>
    <row r="8" spans="1:8" ht="14.5" thickTop="1" x14ac:dyDescent="0.3">
      <c r="A8" s="25" t="s">
        <v>9</v>
      </c>
      <c r="B8" s="28">
        <v>150</v>
      </c>
      <c r="C8" s="28">
        <v>250</v>
      </c>
      <c r="D8" s="28">
        <v>50</v>
      </c>
      <c r="E8" s="12"/>
    </row>
    <row r="9" spans="1:8" x14ac:dyDescent="0.3">
      <c r="A9" s="25" t="s">
        <v>3</v>
      </c>
      <c r="B9" s="28">
        <f>+B7</f>
        <v>50</v>
      </c>
      <c r="C9" s="28">
        <f>+C7</f>
        <v>15</v>
      </c>
      <c r="D9" s="28">
        <f>+D7</f>
        <v>10</v>
      </c>
      <c r="E9" s="12">
        <f>SUM(B9:D9)</f>
        <v>75</v>
      </c>
    </row>
    <row r="10" spans="1:8" x14ac:dyDescent="0.3">
      <c r="A10" s="25" t="s">
        <v>4</v>
      </c>
      <c r="B10" s="28">
        <v>3800</v>
      </c>
      <c r="C10" s="28">
        <v>1440</v>
      </c>
      <c r="D10" s="28">
        <v>1080</v>
      </c>
      <c r="E10" s="12">
        <f>SUM(B10:D10)</f>
        <v>6320</v>
      </c>
    </row>
    <row r="11" spans="1:8" x14ac:dyDescent="0.3">
      <c r="A11" s="25" t="s">
        <v>5</v>
      </c>
      <c r="B11" s="28">
        <v>150</v>
      </c>
      <c r="C11" s="28">
        <v>275</v>
      </c>
      <c r="D11" s="28">
        <v>70</v>
      </c>
      <c r="E11" s="12">
        <f>SUM(B11:D11)</f>
        <v>495</v>
      </c>
    </row>
    <row r="12" spans="1:8" x14ac:dyDescent="0.3">
      <c r="A12" s="25" t="s">
        <v>10</v>
      </c>
      <c r="B12" s="28">
        <f>+B8*B7</f>
        <v>7500</v>
      </c>
      <c r="C12" s="28">
        <f>+C8*C7</f>
        <v>3750</v>
      </c>
      <c r="D12" s="28">
        <f>+D8*D7</f>
        <v>500</v>
      </c>
      <c r="E12" s="12">
        <f>SUM(B12:D12)</f>
        <v>11750</v>
      </c>
    </row>
    <row r="13" spans="1:8" x14ac:dyDescent="0.3">
      <c r="A13" s="25"/>
      <c r="B13" s="25"/>
      <c r="C13" s="25"/>
      <c r="D13" s="25"/>
      <c r="E13" s="11"/>
    </row>
    <row r="14" spans="1:8" x14ac:dyDescent="0.3">
      <c r="A14" s="25" t="s">
        <v>42</v>
      </c>
      <c r="B14" s="29">
        <v>8</v>
      </c>
      <c r="C14" s="29">
        <v>12</v>
      </c>
      <c r="D14" s="29">
        <v>14</v>
      </c>
      <c r="E14" s="11"/>
    </row>
    <row r="15" spans="1:8" x14ac:dyDescent="0.3">
      <c r="A15" s="26" t="s">
        <v>43</v>
      </c>
      <c r="B15" s="30">
        <f>B14*B12</f>
        <v>60000</v>
      </c>
      <c r="C15" s="30">
        <f>C14*C12</f>
        <v>45000</v>
      </c>
      <c r="D15" s="30">
        <f>D14*D12</f>
        <v>7000</v>
      </c>
      <c r="E15" s="13">
        <f>SUM(B15:D15)</f>
        <v>112000</v>
      </c>
    </row>
    <row r="16" spans="1:8" x14ac:dyDescent="0.3">
      <c r="A16" s="10"/>
      <c r="B16" s="8"/>
      <c r="C16" s="8"/>
      <c r="D16" s="8"/>
      <c r="E16" s="8"/>
    </row>
    <row r="17" spans="1:11" x14ac:dyDescent="0.3">
      <c r="B17" s="14"/>
      <c r="C17" s="14"/>
      <c r="D17" s="14"/>
      <c r="E17" s="8"/>
    </row>
    <row r="18" spans="1:11" ht="28" x14ac:dyDescent="0.3">
      <c r="A18" s="32" t="s">
        <v>19</v>
      </c>
      <c r="B18" s="27" t="s">
        <v>31</v>
      </c>
      <c r="C18" s="31" t="s">
        <v>32</v>
      </c>
      <c r="D18" s="31" t="s">
        <v>33</v>
      </c>
      <c r="E18" s="23" t="s">
        <v>6</v>
      </c>
      <c r="G18" s="32" t="s">
        <v>34</v>
      </c>
      <c r="H18" s="31" t="s">
        <v>31</v>
      </c>
      <c r="I18" s="31" t="s">
        <v>32</v>
      </c>
      <c r="J18" s="31" t="s">
        <v>33</v>
      </c>
      <c r="K18" s="58" t="s">
        <v>6</v>
      </c>
    </row>
    <row r="19" spans="1:11" x14ac:dyDescent="0.3">
      <c r="A19" s="9" t="s">
        <v>41</v>
      </c>
      <c r="B19" s="29">
        <v>8</v>
      </c>
      <c r="C19" s="29">
        <v>12</v>
      </c>
      <c r="D19" s="29">
        <v>14</v>
      </c>
      <c r="E19" s="11"/>
      <c r="G19" s="9"/>
      <c r="H19" s="33"/>
      <c r="I19" s="33"/>
      <c r="J19" s="34"/>
      <c r="K19" s="18"/>
    </row>
    <row r="20" spans="1:11" x14ac:dyDescent="0.3">
      <c r="A20" s="9" t="s">
        <v>40</v>
      </c>
      <c r="B20" s="28">
        <f>B19*B12</f>
        <v>60000</v>
      </c>
      <c r="C20" s="28">
        <f>C19*C12</f>
        <v>45000</v>
      </c>
      <c r="D20" s="28">
        <f>D19*D12</f>
        <v>7000</v>
      </c>
      <c r="E20" s="12">
        <f>SUM(B20:D20)</f>
        <v>112000</v>
      </c>
      <c r="G20" s="9" t="s">
        <v>3</v>
      </c>
      <c r="H20" s="61">
        <f>$H$4*B9/$E$9</f>
        <v>67500</v>
      </c>
      <c r="I20" s="61">
        <f>$H$4*C9/$E$9</f>
        <v>20250</v>
      </c>
      <c r="J20" s="62">
        <f>$H$4*D9/$E$9</f>
        <v>13500</v>
      </c>
      <c r="K20" s="61">
        <f>SUM(H20:J20)</f>
        <v>101250</v>
      </c>
    </row>
    <row r="21" spans="1:11" x14ac:dyDescent="0.3">
      <c r="A21" s="9"/>
      <c r="B21" s="28"/>
      <c r="C21" s="28"/>
      <c r="D21" s="28"/>
      <c r="E21" s="12"/>
      <c r="G21" s="9" t="s">
        <v>8</v>
      </c>
      <c r="H21" s="61">
        <f>$H$5*B10/$E$10</f>
        <v>79800</v>
      </c>
      <c r="I21" s="61">
        <f>$H$5*C10/$E$10</f>
        <v>30240</v>
      </c>
      <c r="J21" s="61">
        <f>$H$5*D10/$E$10</f>
        <v>22680</v>
      </c>
      <c r="K21" s="61">
        <f>SUM(H21:J21)</f>
        <v>132720</v>
      </c>
    </row>
    <row r="22" spans="1:11" x14ac:dyDescent="0.3">
      <c r="A22" s="9" t="s">
        <v>39</v>
      </c>
      <c r="B22" s="35"/>
      <c r="C22" s="36"/>
      <c r="D22" s="36"/>
      <c r="E22" s="35">
        <f>H7/E20</f>
        <v>2.9729464285714284</v>
      </c>
      <c r="G22" s="9" t="s">
        <v>5</v>
      </c>
      <c r="H22" s="63">
        <f>$H$6*B11/$E$11</f>
        <v>30000</v>
      </c>
      <c r="I22" s="63">
        <f>$H$6*C11/$E$11</f>
        <v>55000</v>
      </c>
      <c r="J22" s="63">
        <f>$H$6*D11/$E$11</f>
        <v>14000</v>
      </c>
      <c r="K22" s="63">
        <f>SUM(H22:J22)</f>
        <v>99000</v>
      </c>
    </row>
    <row r="23" spans="1:11" ht="14.5" thickBot="1" x14ac:dyDescent="0.35">
      <c r="A23" s="15" t="s">
        <v>12</v>
      </c>
      <c r="B23" s="37">
        <f>ROUND(B19*$E22,2)</f>
        <v>23.78</v>
      </c>
      <c r="C23" s="37">
        <f t="shared" ref="C23:D23" si="0">ROUND(C19*$E22,2)</f>
        <v>35.68</v>
      </c>
      <c r="D23" s="37">
        <f t="shared" si="0"/>
        <v>41.62</v>
      </c>
      <c r="E23" s="38"/>
      <c r="G23" s="9"/>
      <c r="H23" s="64">
        <f>SUM(H20:H22)</f>
        <v>177300</v>
      </c>
      <c r="I23" s="64">
        <f t="shared" ref="I23:K23" si="1">SUM(I20:I22)</f>
        <v>105490</v>
      </c>
      <c r="J23" s="64">
        <f t="shared" si="1"/>
        <v>50180</v>
      </c>
      <c r="K23" s="64">
        <f t="shared" si="1"/>
        <v>332970</v>
      </c>
    </row>
    <row r="24" spans="1:11" ht="14.5" thickTop="1" x14ac:dyDescent="0.3">
      <c r="A24" s="16"/>
      <c r="B24" s="17"/>
      <c r="C24" s="17"/>
      <c r="D24" s="17"/>
      <c r="E24" s="8"/>
      <c r="G24" s="15" t="s">
        <v>12</v>
      </c>
      <c r="H24" s="59">
        <f>ROUND(H23/B12,2)</f>
        <v>23.64</v>
      </c>
      <c r="I24" s="59">
        <f t="shared" ref="I24:J24" si="2">ROUND(I23/C12,2)</f>
        <v>28.13</v>
      </c>
      <c r="J24" s="59">
        <f t="shared" si="2"/>
        <v>100.36</v>
      </c>
      <c r="K24" s="60"/>
    </row>
    <row r="26" spans="1:11" ht="28" x14ac:dyDescent="0.3">
      <c r="A26" s="39" t="s">
        <v>35</v>
      </c>
      <c r="B26" s="40" t="s">
        <v>31</v>
      </c>
      <c r="C26" s="41" t="s">
        <v>32</v>
      </c>
      <c r="D26" s="41" t="s">
        <v>33</v>
      </c>
      <c r="G26" s="48" t="s">
        <v>36</v>
      </c>
      <c r="H26" s="49" t="s">
        <v>31</v>
      </c>
      <c r="I26" s="49" t="s">
        <v>32</v>
      </c>
      <c r="J26" s="49" t="s">
        <v>33</v>
      </c>
    </row>
    <row r="27" spans="1:11" ht="14.5" x14ac:dyDescent="0.35">
      <c r="A27" s="42" t="s">
        <v>10</v>
      </c>
      <c r="B27" s="43">
        <f>B12</f>
        <v>7500</v>
      </c>
      <c r="C27" s="43">
        <f>C12</f>
        <v>3750</v>
      </c>
      <c r="D27" s="43">
        <f>D12</f>
        <v>500</v>
      </c>
      <c r="F27" s="19"/>
      <c r="G27" s="50" t="s">
        <v>10</v>
      </c>
      <c r="H27" s="51">
        <f>B12</f>
        <v>7500</v>
      </c>
      <c r="I27" s="51">
        <f>C12</f>
        <v>3750</v>
      </c>
      <c r="J27" s="51">
        <f>D12</f>
        <v>500</v>
      </c>
    </row>
    <row r="28" spans="1:11" x14ac:dyDescent="0.3">
      <c r="A28" s="42"/>
      <c r="B28" s="44"/>
      <c r="C28" s="44"/>
      <c r="D28" s="44"/>
      <c r="G28" s="50"/>
      <c r="H28" s="52"/>
      <c r="I28" s="52"/>
      <c r="J28" s="52"/>
    </row>
    <row r="29" spans="1:11" ht="14.5" x14ac:dyDescent="0.35">
      <c r="A29" s="45" t="s">
        <v>16</v>
      </c>
      <c r="B29" s="46" t="s">
        <v>7</v>
      </c>
      <c r="C29" s="46" t="s">
        <v>7</v>
      </c>
      <c r="D29" s="46" t="s">
        <v>7</v>
      </c>
      <c r="G29" s="53" t="s">
        <v>16</v>
      </c>
      <c r="H29" s="54" t="s">
        <v>7</v>
      </c>
      <c r="I29" s="54" t="s">
        <v>7</v>
      </c>
      <c r="J29" s="54" t="s">
        <v>7</v>
      </c>
    </row>
    <row r="30" spans="1:11" x14ac:dyDescent="0.3">
      <c r="A30" s="42" t="s">
        <v>17</v>
      </c>
      <c r="B30" s="47">
        <f>260</f>
        <v>260</v>
      </c>
      <c r="C30" s="47">
        <v>350</v>
      </c>
      <c r="D30" s="47">
        <v>400</v>
      </c>
      <c r="G30" s="50" t="s">
        <v>17</v>
      </c>
      <c r="H30" s="55">
        <f>B30</f>
        <v>260</v>
      </c>
      <c r="I30" s="55">
        <f>C30</f>
        <v>350</v>
      </c>
      <c r="J30" s="55">
        <f>D30</f>
        <v>400</v>
      </c>
    </row>
    <row r="31" spans="1:11" x14ac:dyDescent="0.3">
      <c r="A31" s="42" t="s">
        <v>13</v>
      </c>
      <c r="B31" s="47">
        <f>+B23</f>
        <v>23.78</v>
      </c>
      <c r="C31" s="47">
        <f t="shared" ref="C31:D31" si="3">+C23</f>
        <v>35.68</v>
      </c>
      <c r="D31" s="47">
        <f t="shared" si="3"/>
        <v>41.62</v>
      </c>
      <c r="G31" s="50" t="s">
        <v>38</v>
      </c>
      <c r="H31" s="55">
        <f>H24</f>
        <v>23.64</v>
      </c>
      <c r="I31" s="55">
        <f t="shared" ref="I31:J31" si="4">I24</f>
        <v>28.13</v>
      </c>
      <c r="J31" s="55">
        <f t="shared" si="4"/>
        <v>100.36</v>
      </c>
    </row>
    <row r="32" spans="1:11" x14ac:dyDescent="0.3">
      <c r="A32" s="42" t="s">
        <v>14</v>
      </c>
      <c r="B32" s="47">
        <f>B31+B30</f>
        <v>283.77999999999997</v>
      </c>
      <c r="C32" s="47">
        <f t="shared" ref="C32:D32" si="5">C31+C30</f>
        <v>385.68</v>
      </c>
      <c r="D32" s="47">
        <f t="shared" si="5"/>
        <v>441.62</v>
      </c>
      <c r="G32" s="50" t="s">
        <v>14</v>
      </c>
      <c r="H32" s="55">
        <f>H31+H30</f>
        <v>283.64</v>
      </c>
      <c r="I32" s="55">
        <f t="shared" ref="I32:J32" si="6">I31+I30</f>
        <v>378.13</v>
      </c>
      <c r="J32" s="55">
        <f t="shared" si="6"/>
        <v>500.36</v>
      </c>
    </row>
    <row r="33" spans="1:13" x14ac:dyDescent="0.3">
      <c r="A33" s="42" t="s">
        <v>37</v>
      </c>
      <c r="B33" s="47">
        <f>B32/0.75*0.25</f>
        <v>94.59333333333332</v>
      </c>
      <c r="C33" s="47">
        <f t="shared" ref="C33:D33" si="7">C32/0.75*0.25</f>
        <v>128.56</v>
      </c>
      <c r="D33" s="47">
        <f t="shared" si="7"/>
        <v>147.20666666666668</v>
      </c>
      <c r="G33" s="50" t="s">
        <v>37</v>
      </c>
      <c r="H33" s="55">
        <f>H32/0.75*0.25</f>
        <v>94.546666666666667</v>
      </c>
      <c r="I33" s="55">
        <f t="shared" ref="I33" si="8">I32/0.75*0.25</f>
        <v>126.04333333333334</v>
      </c>
      <c r="J33" s="55">
        <f t="shared" ref="J33" si="9">J32/0.75*0.25</f>
        <v>166.78666666666666</v>
      </c>
    </row>
    <row r="34" spans="1:13" x14ac:dyDescent="0.3">
      <c r="A34" s="67" t="s">
        <v>20</v>
      </c>
      <c r="B34" s="68">
        <f>+B33+B32</f>
        <v>378.37333333333328</v>
      </c>
      <c r="C34" s="68">
        <f t="shared" ref="C34:D34" si="10">+C33+C32</f>
        <v>514.24</v>
      </c>
      <c r="D34" s="68">
        <f t="shared" si="10"/>
        <v>588.82666666666671</v>
      </c>
      <c r="G34" s="65" t="s">
        <v>20</v>
      </c>
      <c r="H34" s="66">
        <f>+H33+H32</f>
        <v>378.18666666666667</v>
      </c>
      <c r="I34" s="66">
        <f t="shared" ref="I34:J34" si="11">+I33+I32</f>
        <v>504.17333333333335</v>
      </c>
      <c r="J34" s="66">
        <f t="shared" si="11"/>
        <v>667.14666666666665</v>
      </c>
    </row>
    <row r="35" spans="1:13" x14ac:dyDescent="0.3">
      <c r="F35" s="20"/>
      <c r="G35" s="56"/>
      <c r="H35" s="57"/>
      <c r="I35" s="57"/>
      <c r="J35" s="57"/>
    </row>
    <row r="37" spans="1:13" x14ac:dyDescent="0.3">
      <c r="A37" s="73" t="s">
        <v>15</v>
      </c>
      <c r="B37" s="74">
        <v>379</v>
      </c>
      <c r="C37" s="74">
        <v>519</v>
      </c>
      <c r="D37" s="75">
        <v>589</v>
      </c>
      <c r="E37" s="20"/>
      <c r="G37" s="20"/>
      <c r="H37" s="21"/>
      <c r="I37" s="21"/>
      <c r="J37" s="21"/>
      <c r="K37" s="21"/>
    </row>
    <row r="38" spans="1:13" x14ac:dyDescent="0.3">
      <c r="A38" s="69"/>
      <c r="B38" s="70"/>
      <c r="C38" s="70"/>
      <c r="D38" s="71"/>
      <c r="F38" s="20"/>
      <c r="G38" s="10"/>
      <c r="H38" s="10"/>
      <c r="I38" s="10"/>
      <c r="J38" s="10"/>
      <c r="K38" s="10"/>
    </row>
    <row r="39" spans="1:13" x14ac:dyDescent="0.3">
      <c r="A39" s="72" t="s">
        <v>44</v>
      </c>
      <c r="B39" s="76" t="str">
        <f>IF(AND(H34-B37&lt;5,B37-B34&gt;0),"No",(H34-B37))</f>
        <v>No</v>
      </c>
      <c r="C39" s="76" t="str">
        <f>IF(AND(I34-C37&lt;5,C37-C34&gt;0),"No",(I34-C37))</f>
        <v>No</v>
      </c>
      <c r="D39" s="77">
        <f>IF(AND(J34-D37&lt;5,D37-D34&gt;0),"LEAVE",(J34-D37))</f>
        <v>78.146666666666647</v>
      </c>
      <c r="G39" s="10"/>
      <c r="H39" s="22"/>
      <c r="I39" s="22"/>
      <c r="J39" s="22"/>
      <c r="K39" s="22"/>
      <c r="L39" s="10"/>
      <c r="M39" s="10"/>
    </row>
    <row r="40" spans="1:13" x14ac:dyDescent="0.3">
      <c r="G40" s="10"/>
      <c r="H40" s="10"/>
      <c r="I40" s="10"/>
      <c r="J40" s="10"/>
      <c r="K40" s="10"/>
      <c r="L40" s="10"/>
      <c r="M40" s="10"/>
    </row>
    <row r="41" spans="1:13" x14ac:dyDescent="0.3">
      <c r="G41" s="10"/>
      <c r="H41" s="10"/>
      <c r="I41" s="10"/>
      <c r="J41" s="10"/>
      <c r="K41" s="10"/>
      <c r="L41" s="10"/>
      <c r="M41" s="10"/>
    </row>
    <row r="42" spans="1:13" x14ac:dyDescent="0.3">
      <c r="L42" s="10"/>
      <c r="M4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 Robin Roller profit</vt:lpstr>
      <vt:lpstr>6.6 Absorption vs ABC 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2021-06-26T11:29:15Z</dcterms:created>
  <dcterms:modified xsi:type="dcterms:W3CDTF">2021-09-08T11:35:37Z</dcterms:modified>
</cp:coreProperties>
</file>