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4EF79B83-99C1-406C-B012-3673BA53DBA0}" xr6:coauthVersionLast="47" xr6:coauthVersionMax="47" xr10:uidLastSave="{00000000-0000-0000-0000-000000000000}"/>
  <bookViews>
    <workbookView xWindow="-110" yWindow="-110" windowWidth="19420" windowHeight="10420" tabRatio="729" activeTab="3" xr2:uid="{00000000-000D-0000-FFFF-FFFF00000000}"/>
  </bookViews>
  <sheets>
    <sheet name="8.4 Sales trend" sheetId="5" r:id="rId1"/>
    <sheet name="8.4 Bathroom jobs " sheetId="4" r:id="rId2"/>
    <sheet name="8.9 The Outlook Hotel" sheetId="6" r:id="rId3"/>
    <sheet name="8.9 Revised break even" sheetId="3" r:id="rId4"/>
  </sheets>
  <definedNames>
    <definedName name="_xlnm.Print_Area" localSheetId="3">'8.9 Revised break even'!$A$1:$C$29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20" i="6"/>
  <c r="B26" i="6" s="1"/>
  <c r="B15" i="6"/>
  <c r="B23" i="6" s="1"/>
  <c r="B9" i="6"/>
  <c r="B22" i="6" s="1"/>
  <c r="B20" i="3"/>
  <c r="C20" i="3" s="1"/>
  <c r="B15" i="3"/>
  <c r="B23" i="3" s="1"/>
  <c r="B14" i="3"/>
  <c r="B8" i="3"/>
  <c r="B7" i="3"/>
  <c r="B6" i="3"/>
  <c r="B9" i="3" s="1"/>
  <c r="B5" i="3"/>
  <c r="B4" i="3"/>
  <c r="C48" i="4"/>
  <c r="B27" i="6" l="1"/>
  <c r="C23" i="6"/>
  <c r="B24" i="6"/>
  <c r="B25" i="6" s="1"/>
  <c r="C22" i="6"/>
  <c r="C20" i="6"/>
  <c r="C24" i="6" s="1"/>
  <c r="C25" i="6" s="1"/>
  <c r="C22" i="3"/>
  <c r="C24" i="3" s="1"/>
  <c r="C25" i="3" s="1"/>
  <c r="B22" i="3"/>
  <c r="B26" i="3" s="1"/>
  <c r="B27" i="3" s="1"/>
  <c r="C23" i="3"/>
  <c r="B24" i="3"/>
  <c r="B25" i="3" s="1"/>
  <c r="C40" i="4"/>
  <c r="C38" i="4"/>
  <c r="C37" i="4"/>
  <c r="C30" i="4"/>
  <c r="C23" i="4"/>
  <c r="C17" i="4"/>
  <c r="C13" i="4"/>
  <c r="C7" i="4"/>
  <c r="J2" i="4" l="1"/>
  <c r="F4" i="4"/>
  <c r="F5" i="4"/>
  <c r="F6" i="4"/>
  <c r="F8" i="4"/>
  <c r="F9" i="4"/>
  <c r="F10" i="4"/>
  <c r="F11" i="4"/>
  <c r="F12" i="4"/>
  <c r="F14" i="4"/>
  <c r="F15" i="4"/>
  <c r="F16" i="4"/>
  <c r="F18" i="4"/>
  <c r="F19" i="4"/>
  <c r="F20" i="4"/>
  <c r="F21" i="4"/>
  <c r="F22" i="4"/>
  <c r="F24" i="4"/>
  <c r="F25" i="4"/>
  <c r="F26" i="4"/>
  <c r="F27" i="4"/>
  <c r="F28" i="4"/>
  <c r="F29" i="4"/>
  <c r="F31" i="4"/>
  <c r="F32" i="4"/>
  <c r="F33" i="4"/>
  <c r="F34" i="4"/>
  <c r="F35" i="4"/>
  <c r="F36" i="4"/>
  <c r="F3" i="4"/>
  <c r="C42" i="4"/>
  <c r="F30" i="4" l="1"/>
  <c r="F37" i="4"/>
  <c r="F17" i="4"/>
  <c r="F7" i="4"/>
  <c r="F38" i="4" s="1"/>
  <c r="F13" i="4"/>
  <c r="F23" i="4"/>
  <c r="C44" i="4"/>
  <c r="C46" i="4" s="1"/>
</calcChain>
</file>

<file path=xl/sharedStrings.xml><?xml version="1.0" encoding="utf-8"?>
<sst xmlns="http://schemas.openxmlformats.org/spreadsheetml/2006/main" count="135" uniqueCount="81">
  <si>
    <t>£</t>
  </si>
  <si>
    <t>Fixed costs</t>
  </si>
  <si>
    <t>Revenue</t>
  </si>
  <si>
    <t>Job</t>
  </si>
  <si>
    <t>Month</t>
  </si>
  <si>
    <t>Sales, £</t>
  </si>
  <si>
    <t>May</t>
  </si>
  <si>
    <t>June</t>
  </si>
  <si>
    <t xml:space="preserve">Bathrooms fitted </t>
  </si>
  <si>
    <t>July</t>
  </si>
  <si>
    <t>August</t>
  </si>
  <si>
    <t>September</t>
  </si>
  <si>
    <t>October</t>
  </si>
  <si>
    <t>JC 127845</t>
  </si>
  <si>
    <t>Material costs</t>
  </si>
  <si>
    <t>Fitting costs, £</t>
  </si>
  <si>
    <t>Contribution, £</t>
  </si>
  <si>
    <t>Number of bathrooms fitted</t>
  </si>
  <si>
    <t>Average contribution per bathroom</t>
  </si>
  <si>
    <t>Fixed costs for six months</t>
  </si>
  <si>
    <t>JC 127846</t>
  </si>
  <si>
    <t>JC 127847</t>
  </si>
  <si>
    <t>JC 127849</t>
  </si>
  <si>
    <t>JC 127850</t>
  </si>
  <si>
    <t>JC 127851</t>
  </si>
  <si>
    <t>JC 127852</t>
  </si>
  <si>
    <t>JC 127853</t>
  </si>
  <si>
    <t>JC 127854</t>
  </si>
  <si>
    <t>JC 127855</t>
  </si>
  <si>
    <t>JC 127856</t>
  </si>
  <si>
    <t>JC 127857</t>
  </si>
  <si>
    <t>JC 127858</t>
  </si>
  <si>
    <t>JC 127859</t>
  </si>
  <si>
    <t>JC 127860</t>
  </si>
  <si>
    <t>JC 127861</t>
  </si>
  <si>
    <t>JC 127862</t>
  </si>
  <si>
    <t>JC 127863</t>
  </si>
  <si>
    <t>JC 127864</t>
  </si>
  <si>
    <t>JC 127865</t>
  </si>
  <si>
    <t>JC 127866</t>
  </si>
  <si>
    <t>JC 127867</t>
  </si>
  <si>
    <t>JC 127868</t>
  </si>
  <si>
    <t>JC 127869</t>
  </si>
  <si>
    <t>JC 127870</t>
  </si>
  <si>
    <t>JC 127871</t>
  </si>
  <si>
    <t>JC 127872</t>
  </si>
  <si>
    <t>JC 127873</t>
  </si>
  <si>
    <t>JC 127874</t>
  </si>
  <si>
    <t>Margin of safety % , bathrooms</t>
  </si>
  <si>
    <t>Break-even number of bathrooms per six months</t>
  </si>
  <si>
    <t>Revenue to earn £50,000 profit</t>
  </si>
  <si>
    <t>Row Labels</t>
  </si>
  <si>
    <t>Grand Total</t>
  </si>
  <si>
    <t>Sum of Sales, £</t>
  </si>
  <si>
    <t>Sum of Contribution, £</t>
  </si>
  <si>
    <t>May Average</t>
  </si>
  <si>
    <t>June Average</t>
  </si>
  <si>
    <t>July Average</t>
  </si>
  <si>
    <t>August Average</t>
  </si>
  <si>
    <t>September Average</t>
  </si>
  <si>
    <t>October Average</t>
  </si>
  <si>
    <t>Grand Average</t>
  </si>
  <si>
    <t>Budget information</t>
  </si>
  <si>
    <t>Running costs per room per year</t>
  </si>
  <si>
    <t xml:space="preserve">Food cost </t>
  </si>
  <si>
    <t>Laundry cost</t>
  </si>
  <si>
    <t>Toiletries</t>
  </si>
  <si>
    <t>Waiting staff</t>
  </si>
  <si>
    <t>Room cleaning</t>
  </si>
  <si>
    <t xml:space="preserve">Reception staff costs </t>
  </si>
  <si>
    <t>Housekeeping staff</t>
  </si>
  <si>
    <t>Maintenance staff</t>
  </si>
  <si>
    <t xml:space="preserve">Property costs </t>
  </si>
  <si>
    <t>Forecast profit for The Outlook Hotel year ending 31 Oct 20-7</t>
  </si>
  <si>
    <t>Forecast room number</t>
  </si>
  <si>
    <t>Variable costs</t>
  </si>
  <si>
    <t>Forecast profit</t>
  </si>
  <si>
    <t>Forecast profit per room</t>
  </si>
  <si>
    <t>Contribution per room</t>
  </si>
  <si>
    <t>Occupied rooms per year to break even</t>
  </si>
  <si>
    <t>Schedule refit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</si>
</sst>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64" fontId="1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/>
    <xf numFmtId="43" fontId="5" fillId="0" borderId="0" xfId="1" applyFont="1"/>
    <xf numFmtId="43" fontId="5" fillId="0" borderId="0" xfId="0" applyNumberFormat="1" applyFont="1"/>
    <xf numFmtId="0" fontId="5" fillId="0" borderId="2" xfId="0" applyFont="1" applyFill="1" applyBorder="1"/>
    <xf numFmtId="0" fontId="5" fillId="0" borderId="3" xfId="0" applyFont="1" applyFill="1" applyBorder="1"/>
    <xf numFmtId="165" fontId="5" fillId="0" borderId="4" xfId="0" applyNumberFormat="1" applyFont="1" applyFill="1" applyBorder="1"/>
    <xf numFmtId="0" fontId="5" fillId="0" borderId="5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165" fontId="5" fillId="0" borderId="6" xfId="0" applyNumberFormat="1" applyFont="1" applyFill="1" applyBorder="1"/>
    <xf numFmtId="1" fontId="5" fillId="0" borderId="6" xfId="1" applyNumberFormat="1" applyFont="1" applyFill="1" applyBorder="1"/>
    <xf numFmtId="164" fontId="5" fillId="0" borderId="6" xfId="0" applyNumberFormat="1" applyFont="1" applyFill="1" applyBorder="1"/>
    <xf numFmtId="10" fontId="5" fillId="0" borderId="6" xfId="2" applyNumberFormat="1" applyFont="1" applyFill="1" applyBorder="1"/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Fill="1" applyBorder="1"/>
    <xf numFmtId="0" fontId="5" fillId="0" borderId="8" xfId="0" applyFont="1" applyFill="1" applyBorder="1"/>
    <xf numFmtId="165" fontId="5" fillId="0" borderId="9" xfId="2" applyNumberFormat="1" applyFont="1" applyFill="1" applyBorder="1"/>
    <xf numFmtId="44" fontId="0" fillId="0" borderId="0" xfId="0" applyNumberFormat="1"/>
    <xf numFmtId="2" fontId="0" fillId="0" borderId="0" xfId="0" applyNumberFormat="1"/>
    <xf numFmtId="44" fontId="0" fillId="0" borderId="1" xfId="1" applyNumberFormat="1" applyFont="1" applyBorder="1"/>
    <xf numFmtId="166" fontId="0" fillId="0" borderId="0" xfId="1" applyNumberFormat="1" applyFont="1"/>
    <xf numFmtId="166" fontId="0" fillId="0" borderId="1" xfId="0" applyNumberFormat="1" applyBorder="1"/>
    <xf numFmtId="164" fontId="0" fillId="0" borderId="0" xfId="0" applyNumberFormat="1"/>
    <xf numFmtId="0" fontId="0" fillId="2" borderId="14" xfId="0" applyFill="1" applyBorder="1"/>
    <xf numFmtId="0" fontId="1" fillId="4" borderId="10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1" fillId="4" borderId="2" xfId="0" applyFont="1" applyFill="1" applyBorder="1"/>
    <xf numFmtId="0" fontId="1" fillId="4" borderId="1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2" borderId="2" xfId="0" applyFill="1" applyBorder="1"/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164" fontId="0" fillId="2" borderId="13" xfId="1" applyNumberFormat="1" applyFont="1" applyFill="1" applyBorder="1"/>
    <xf numFmtId="164" fontId="0" fillId="2" borderId="6" xfId="1" applyNumberFormat="1" applyFont="1" applyFill="1" applyBorder="1"/>
    <xf numFmtId="164" fontId="0" fillId="2" borderId="12" xfId="1" applyNumberFormat="1" applyFont="1" applyFill="1" applyBorder="1"/>
    <xf numFmtId="164" fontId="0" fillId="2" borderId="15" xfId="1" applyNumberFormat="1" applyFont="1" applyFill="1" applyBorder="1"/>
    <xf numFmtId="0" fontId="0" fillId="4" borderId="7" xfId="0" applyFill="1" applyBorder="1" applyAlignment="1">
      <alignment wrapText="1"/>
    </xf>
    <xf numFmtId="164" fontId="0" fillId="4" borderId="16" xfId="0" applyNumberFormat="1" applyFill="1" applyBorder="1"/>
    <xf numFmtId="0" fontId="0" fillId="4" borderId="16" xfId="0" applyFill="1" applyBorder="1"/>
    <xf numFmtId="0" fontId="0" fillId="5" borderId="14" xfId="0" applyFill="1" applyBorder="1"/>
    <xf numFmtId="43" fontId="0" fillId="5" borderId="11" xfId="0" applyNumberFormat="1" applyFill="1" applyBorder="1" applyAlignment="1">
      <alignment horizontal="center"/>
    </xf>
    <xf numFmtId="0" fontId="1" fillId="4" borderId="14" xfId="0" applyFont="1" applyFill="1" applyBorder="1"/>
    <xf numFmtId="0" fontId="4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[MATSW Chapter 8 Activities answers amended.xlsx]8.4 Sales trend!PivotTable1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analysis</a:t>
            </a:r>
            <a:r>
              <a:rPr lang="en-GB" baseline="0"/>
              <a:t> exc August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00B050"/>
          </a:solidFill>
          <a:ln>
            <a:solidFill>
              <a:srgbClr val="00B05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'8.4 Sales trend'!$B$3</c:f>
              <c:strCache>
                <c:ptCount val="1"/>
                <c:pt idx="0">
                  <c:v>Sum of Sales, £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'8.4 Sales trend'!$A$4:$A$9</c:f>
              <c:strCache>
                <c:ptCount val="5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September</c:v>
                </c:pt>
                <c:pt idx="4">
                  <c:v>October</c:v>
                </c:pt>
              </c:strCache>
            </c:strRef>
          </c:cat>
          <c:val>
            <c:numRef>
              <c:f>'8.4 Sales trend'!$B$4:$B$9</c:f>
              <c:numCache>
                <c:formatCode>General</c:formatCode>
                <c:ptCount val="5"/>
                <c:pt idx="0">
                  <c:v>42600</c:v>
                </c:pt>
                <c:pt idx="1">
                  <c:v>43300</c:v>
                </c:pt>
                <c:pt idx="2">
                  <c:v>53900</c:v>
                </c:pt>
                <c:pt idx="3">
                  <c:v>62600</c:v>
                </c:pt>
                <c:pt idx="4">
                  <c:v>75100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0-4518-BA19-C052F0543C97}"/>
            </c:ext>
          </c:extLst>
        </c:ser>
        <c:ser>
          <c:idx val="1"/>
          <c:order val="1"/>
          <c:tx>
            <c:strRef>
              <c:f>'8.4 Sales trend'!$C$3</c:f>
              <c:strCache>
                <c:ptCount val="1"/>
                <c:pt idx="0">
                  <c:v>Sum of Contribution, 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'8.4 Sales trend'!$A$4:$A$9</c:f>
              <c:strCache>
                <c:ptCount val="5"/>
                <c:pt idx="0">
                  <c:v>May</c:v>
                </c:pt>
                <c:pt idx="1">
                  <c:v>June</c:v>
                </c:pt>
                <c:pt idx="2">
                  <c:v>July</c:v>
                </c:pt>
                <c:pt idx="3">
                  <c:v>September</c:v>
                </c:pt>
                <c:pt idx="4">
                  <c:v>October</c:v>
                </c:pt>
              </c:strCache>
            </c:strRef>
          </c:cat>
          <c:val>
            <c:numRef>
              <c:f>'8.4 Sales trend'!$C$4:$C$9</c:f>
              <c:numCache>
                <c:formatCode>General</c:formatCode>
                <c:ptCount val="5"/>
                <c:pt idx="0">
                  <c:v>5420</c:v>
                </c:pt>
                <c:pt idx="1">
                  <c:v>8120</c:v>
                </c:pt>
                <c:pt idx="2">
                  <c:v>9887</c:v>
                </c:pt>
                <c:pt idx="3">
                  <c:v>9304</c:v>
                </c:pt>
                <c:pt idx="4">
                  <c:v>11539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0-4518-BA19-C052F0543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701376"/>
        <c:axId val="1317701792"/>
      </c:barChart>
      <c:catAx>
        <c:axId val="131770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701792"/>
        <c:crosses val="autoZero"/>
        <c:auto val="1"/>
        <c:lblAlgn val="ctr"/>
        <c:lblOffset val="100"/>
        <c:noMultiLvlLbl val="0"/>
      </c:catAx>
      <c:valAx>
        <c:axId val="131770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70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44450</xdr:rowOff>
    </xdr:from>
    <xdr:to>
      <xdr:col>16</xdr:col>
      <xdr:colOff>266700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9D7372-0C68-4D6A-AE35-FF4BFE2E0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den Amos" refreshedDate="44448.523025810187" createdVersion="7" refreshedVersion="7" minRefreshableVersion="3" recordCount="29" xr:uid="{888D4E3B-EDBB-4689-A280-1739EFA17B98}">
  <cacheSource type="worksheet">
    <worksheetSource ref="A2:F36" sheet="8.4 Bathroom jobs "/>
  </cacheSource>
  <cacheFields count="6">
    <cacheField name="Job" numFmtId="0">
      <sharedItems/>
    </cacheField>
    <cacheField name="Month" numFmtId="0">
      <sharedItems count="6">
        <s v="May"/>
        <s v="June"/>
        <s v="July"/>
        <s v="August"/>
        <s v="September"/>
        <s v="October"/>
      </sharedItems>
    </cacheField>
    <cacheField name="Sales, £" numFmtId="43">
      <sharedItems containsSemiMixedTypes="0" containsString="0" containsNumber="1" containsInteger="1" minValue="6300" maxValue="32800"/>
    </cacheField>
    <cacheField name="Material costs" numFmtId="43">
      <sharedItems containsSemiMixedTypes="0" containsString="0" containsNumber="1" containsInteger="1" minValue="2523" maxValue="13110"/>
    </cacheField>
    <cacheField name="Fitting costs, £" numFmtId="43">
      <sharedItems containsSemiMixedTypes="0" containsString="0" containsNumber="1" minValue="2665" maxValue="13448"/>
    </cacheField>
    <cacheField name="Contribution, £" numFmtId="43">
      <sharedItems containsSemiMixedTypes="0" containsString="0" containsNumber="1" minValue="61" maxValue="62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s v="JC 127845"/>
    <x v="0"/>
    <n v="15400"/>
    <n v="6160"/>
    <n v="6314"/>
    <n v="2926"/>
  </r>
  <r>
    <s v="JC 127846"/>
    <x v="0"/>
    <n v="6450"/>
    <n v="2643"/>
    <n v="2841"/>
    <n v="966"/>
  </r>
  <r>
    <s v="JC 127847"/>
    <x v="0"/>
    <n v="8500"/>
    <n v="3248"/>
    <n v="3785"/>
    <n v="1467"/>
  </r>
  <r>
    <s v="JC 127849"/>
    <x v="0"/>
    <n v="12250"/>
    <n v="5948"/>
    <n v="6241"/>
    <n v="61"/>
  </r>
  <r>
    <s v="JC 127850"/>
    <x v="1"/>
    <n v="8500"/>
    <n v="3422"/>
    <n v="3784"/>
    <n v="1294"/>
  </r>
  <r>
    <s v="JC 127851"/>
    <x v="1"/>
    <n v="7800"/>
    <n v="2983"/>
    <n v="3145"/>
    <n v="1672"/>
  </r>
  <r>
    <s v="JC 127852"/>
    <x v="1"/>
    <n v="10200"/>
    <n v="4080"/>
    <n v="4182"/>
    <n v="1938"/>
  </r>
  <r>
    <s v="JC 127853"/>
    <x v="1"/>
    <n v="9600"/>
    <n v="3845"/>
    <n v="3935.9999999999995"/>
    <n v="1819.0000000000005"/>
  </r>
  <r>
    <s v="JC 127854"/>
    <x v="1"/>
    <n v="7200"/>
    <n v="2840"/>
    <n v="2963"/>
    <n v="1397"/>
  </r>
  <r>
    <s v="JC 127855"/>
    <x v="2"/>
    <n v="32800"/>
    <n v="13110"/>
    <n v="13448"/>
    <n v="6242"/>
  </r>
  <r>
    <s v="JC 127856"/>
    <x v="2"/>
    <n v="11600"/>
    <n v="4640"/>
    <n v="5120"/>
    <n v="1840"/>
  </r>
  <r>
    <s v="JC 127857"/>
    <x v="2"/>
    <n v="9500"/>
    <n v="3800"/>
    <n v="3894.9999999999995"/>
    <n v="1805.0000000000005"/>
  </r>
  <r>
    <s v="JC 127858"/>
    <x v="3"/>
    <n v="8200"/>
    <n v="3277"/>
    <n v="3362"/>
    <n v="1561"/>
  </r>
  <r>
    <s v="JC 127859"/>
    <x v="3"/>
    <n v="6300"/>
    <n v="2523"/>
    <n v="2684"/>
    <n v="1093"/>
  </r>
  <r>
    <s v="JC 127860"/>
    <x v="3"/>
    <n v="8500"/>
    <n v="3248"/>
    <n v="3785"/>
    <n v="1467"/>
  </r>
  <r>
    <s v="JC 127861"/>
    <x v="3"/>
    <n v="8700"/>
    <n v="3486"/>
    <n v="3967"/>
    <n v="1247"/>
  </r>
  <r>
    <s v="JC 127862"/>
    <x v="3"/>
    <n v="6500"/>
    <n v="2615"/>
    <n v="2665"/>
    <n v="1220"/>
  </r>
  <r>
    <s v="JC 127863"/>
    <x v="4"/>
    <n v="12800"/>
    <n v="5124"/>
    <n v="5432"/>
    <n v="2244"/>
  </r>
  <r>
    <s v="JC 127864"/>
    <x v="4"/>
    <n v="12100"/>
    <n v="5841"/>
    <n v="5961"/>
    <n v="298"/>
  </r>
  <r>
    <s v="JC 127865"/>
    <x v="4"/>
    <n v="14700"/>
    <n v="5882"/>
    <n v="6027"/>
    <n v="2791"/>
  </r>
  <r>
    <s v="JC 127866"/>
    <x v="4"/>
    <n v="9100"/>
    <n v="3640"/>
    <n v="3731"/>
    <n v="1729"/>
  </r>
  <r>
    <s v="JC 127867"/>
    <x v="4"/>
    <n v="7400"/>
    <n v="2961"/>
    <n v="3034"/>
    <n v="1405"/>
  </r>
  <r>
    <s v="JC 127868"/>
    <x v="4"/>
    <n v="6500"/>
    <n v="2698"/>
    <n v="2965"/>
    <n v="837"/>
  </r>
  <r>
    <s v="JC 127869"/>
    <x v="5"/>
    <n v="7400"/>
    <n v="2963"/>
    <n v="3421"/>
    <n v="1016"/>
  </r>
  <r>
    <s v="JC 127870"/>
    <x v="5"/>
    <n v="11400"/>
    <n v="4567"/>
    <n v="4674"/>
    <n v="2159"/>
  </r>
  <r>
    <s v="JC 127871"/>
    <x v="5"/>
    <n v="18600"/>
    <n v="7448"/>
    <n v="8626"/>
    <n v="2526"/>
  </r>
  <r>
    <s v="JC 127872"/>
    <x v="5"/>
    <n v="16200"/>
    <n v="6489"/>
    <n v="6642"/>
    <n v="3069"/>
  </r>
  <r>
    <s v="JC 127873"/>
    <x v="5"/>
    <n v="8500"/>
    <n v="3647"/>
    <n v="4541"/>
    <n v="312"/>
  </r>
  <r>
    <s v="JC 127874"/>
    <x v="5"/>
    <n v="13000"/>
    <n v="5213"/>
    <n v="5330"/>
    <n v="24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D796CE-70ED-44F9-BFC5-FA301EFD479E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">
  <location ref="A3:C9" firstHeaderRow="0" firstDataRow="1" firstDataCol="1"/>
  <pivotFields count="6">
    <pivotField showAll="0"/>
    <pivotField axis="axisRow" showAll="0">
      <items count="7">
        <item x="0"/>
        <item x="1"/>
        <item x="2"/>
        <item h="1" x="3"/>
        <item x="4"/>
        <item x="5"/>
        <item t="default"/>
      </items>
    </pivotField>
    <pivotField dataField="1" numFmtId="43" showAll="0"/>
    <pivotField numFmtId="43" showAll="0"/>
    <pivotField numFmtId="43" showAll="0"/>
    <pivotField dataField="1" numFmtId="43" showAll="0"/>
  </pivotFields>
  <rowFields count="1">
    <field x="1"/>
  </rowFields>
  <rowItems count="6">
    <i>
      <x/>
    </i>
    <i>
      <x v="1"/>
    </i>
    <i>
      <x v="2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, £" fld="2" baseField="0" baseItem="0"/>
    <dataField name="Sum of Contribution, £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6882-7DBF-4F96-97F7-CF8C581A24D2}">
  <dimension ref="A3:C9"/>
  <sheetViews>
    <sheetView zoomScale="120" zoomScaleNormal="120" workbookViewId="0">
      <selection activeCell="Z35" sqref="Z35"/>
    </sheetView>
  </sheetViews>
  <sheetFormatPr defaultRowHeight="14.5" x14ac:dyDescent="0.35"/>
  <cols>
    <col min="1" max="1" width="12.6328125" bestFit="1" customWidth="1"/>
    <col min="2" max="2" width="13.6328125" bestFit="1" customWidth="1"/>
    <col min="3" max="3" width="20.1796875" bestFit="1" customWidth="1"/>
  </cols>
  <sheetData>
    <row r="3" spans="1:3" x14ac:dyDescent="0.35">
      <c r="A3" s="3" t="s">
        <v>51</v>
      </c>
      <c r="B3" t="s">
        <v>53</v>
      </c>
      <c r="C3" t="s">
        <v>54</v>
      </c>
    </row>
    <row r="4" spans="1:3" x14ac:dyDescent="0.35">
      <c r="A4" s="4" t="s">
        <v>6</v>
      </c>
      <c r="B4" s="5">
        <v>42600</v>
      </c>
      <c r="C4" s="5">
        <v>5420</v>
      </c>
    </row>
    <row r="5" spans="1:3" x14ac:dyDescent="0.35">
      <c r="A5" s="4" t="s">
        <v>7</v>
      </c>
      <c r="B5" s="5">
        <v>43300</v>
      </c>
      <c r="C5" s="5">
        <v>8120</v>
      </c>
    </row>
    <row r="6" spans="1:3" x14ac:dyDescent="0.35">
      <c r="A6" s="4" t="s">
        <v>9</v>
      </c>
      <c r="B6" s="5">
        <v>53900</v>
      </c>
      <c r="C6" s="5">
        <v>9887</v>
      </c>
    </row>
    <row r="7" spans="1:3" x14ac:dyDescent="0.35">
      <c r="A7" s="4" t="s">
        <v>11</v>
      </c>
      <c r="B7" s="5">
        <v>62600</v>
      </c>
      <c r="C7" s="5">
        <v>9304</v>
      </c>
    </row>
    <row r="8" spans="1:3" x14ac:dyDescent="0.35">
      <c r="A8" s="4" t="s">
        <v>12</v>
      </c>
      <c r="B8" s="5">
        <v>75100</v>
      </c>
      <c r="C8" s="5">
        <v>11539</v>
      </c>
    </row>
    <row r="9" spans="1:3" x14ac:dyDescent="0.35">
      <c r="A9" s="4" t="s">
        <v>52</v>
      </c>
      <c r="B9" s="5">
        <v>277500</v>
      </c>
      <c r="C9" s="5">
        <v>44270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1762-C485-4AAC-B142-F594F4C100FE}">
  <dimension ref="A1:L48"/>
  <sheetViews>
    <sheetView zoomScaleNormal="100" workbookViewId="0">
      <selection activeCell="I36" sqref="I36"/>
    </sheetView>
  </sheetViews>
  <sheetFormatPr defaultRowHeight="14" outlineLevelRow="2" x14ac:dyDescent="0.3"/>
  <cols>
    <col min="1" max="1" width="40.08984375" style="7" bestFit="1" customWidth="1"/>
    <col min="2" max="2" width="17.7265625" style="7" bestFit="1" customWidth="1"/>
    <col min="3" max="3" width="10.08984375" style="7" bestFit="1" customWidth="1"/>
    <col min="4" max="4" width="12.90625" style="7" bestFit="1" customWidth="1"/>
    <col min="5" max="5" width="13.453125" style="7" bestFit="1" customWidth="1"/>
    <col min="6" max="6" width="14" style="7" bestFit="1" customWidth="1"/>
    <col min="7" max="7" width="3.6328125" style="7" customWidth="1"/>
    <col min="8" max="8" width="8.7265625" style="7"/>
    <col min="9" max="9" width="3.90625" style="7" customWidth="1"/>
    <col min="10" max="10" width="9.453125" style="7" customWidth="1"/>
    <col min="11" max="13" width="8.7265625" style="7"/>
    <col min="14" max="14" width="41.6328125" style="7" customWidth="1"/>
    <col min="15" max="16384" width="8.7265625" style="7"/>
  </cols>
  <sheetData>
    <row r="1" spans="1:10" x14ac:dyDescent="0.3">
      <c r="A1" s="6" t="s">
        <v>8</v>
      </c>
    </row>
    <row r="2" spans="1:10" ht="34.5" customHeight="1" x14ac:dyDescent="0.3">
      <c r="A2" s="6" t="s">
        <v>3</v>
      </c>
      <c r="B2" s="6" t="s">
        <v>4</v>
      </c>
      <c r="C2" s="8" t="s">
        <v>5</v>
      </c>
      <c r="D2" s="8" t="s">
        <v>14</v>
      </c>
      <c r="E2" s="8" t="s">
        <v>15</v>
      </c>
      <c r="F2" s="8" t="s">
        <v>16</v>
      </c>
      <c r="H2" s="55" t="s">
        <v>17</v>
      </c>
      <c r="I2" s="55"/>
      <c r="J2" s="9">
        <f>COUNTA(A3:A36)</f>
        <v>29</v>
      </c>
    </row>
    <row r="3" spans="1:10" outlineLevel="2" x14ac:dyDescent="0.3">
      <c r="A3" s="7" t="s">
        <v>13</v>
      </c>
      <c r="B3" s="7" t="s">
        <v>6</v>
      </c>
      <c r="C3" s="10">
        <v>15400</v>
      </c>
      <c r="D3" s="10">
        <v>6160</v>
      </c>
      <c r="E3" s="10">
        <v>6314</v>
      </c>
      <c r="F3" s="10">
        <f>C3-D3-E3</f>
        <v>2926</v>
      </c>
    </row>
    <row r="4" spans="1:10" outlineLevel="2" x14ac:dyDescent="0.3">
      <c r="A4" s="7" t="s">
        <v>20</v>
      </c>
      <c r="B4" s="7" t="s">
        <v>6</v>
      </c>
      <c r="C4" s="10">
        <v>6450</v>
      </c>
      <c r="D4" s="10">
        <v>2643</v>
      </c>
      <c r="E4" s="10">
        <v>2841</v>
      </c>
      <c r="F4" s="10">
        <f t="shared" ref="F4:F36" si="0">C4-D4-E4</f>
        <v>966</v>
      </c>
    </row>
    <row r="5" spans="1:10" outlineLevel="2" x14ac:dyDescent="0.3">
      <c r="A5" s="7" t="s">
        <v>21</v>
      </c>
      <c r="B5" s="7" t="s">
        <v>6</v>
      </c>
      <c r="C5" s="10">
        <v>8500</v>
      </c>
      <c r="D5" s="10">
        <v>3248</v>
      </c>
      <c r="E5" s="10">
        <v>3785</v>
      </c>
      <c r="F5" s="10">
        <f t="shared" si="0"/>
        <v>1467</v>
      </c>
    </row>
    <row r="6" spans="1:10" outlineLevel="2" x14ac:dyDescent="0.3">
      <c r="A6" s="7" t="s">
        <v>22</v>
      </c>
      <c r="B6" s="7" t="s">
        <v>6</v>
      </c>
      <c r="C6" s="10">
        <v>12250</v>
      </c>
      <c r="D6" s="10">
        <v>5948</v>
      </c>
      <c r="E6" s="10">
        <v>6241</v>
      </c>
      <c r="F6" s="10">
        <f t="shared" si="0"/>
        <v>61</v>
      </c>
    </row>
    <row r="7" spans="1:10" outlineLevel="1" x14ac:dyDescent="0.3">
      <c r="B7" s="6" t="s">
        <v>55</v>
      </c>
      <c r="C7" s="10">
        <f>SUBTOTAL(1,C3:C6)</f>
        <v>10650</v>
      </c>
      <c r="D7" s="10"/>
      <c r="E7" s="10"/>
      <c r="F7" s="10">
        <f>SUBTOTAL(1,F3:F6)</f>
        <v>1355</v>
      </c>
    </row>
    <row r="8" spans="1:10" outlineLevel="2" x14ac:dyDescent="0.3">
      <c r="A8" s="7" t="s">
        <v>23</v>
      </c>
      <c r="B8" s="7" t="s">
        <v>7</v>
      </c>
      <c r="C8" s="10">
        <v>8500</v>
      </c>
      <c r="D8" s="10">
        <v>3422</v>
      </c>
      <c r="E8" s="10">
        <v>3784</v>
      </c>
      <c r="F8" s="10">
        <f t="shared" si="0"/>
        <v>1294</v>
      </c>
    </row>
    <row r="9" spans="1:10" outlineLevel="2" x14ac:dyDescent="0.3">
      <c r="A9" s="7" t="s">
        <v>24</v>
      </c>
      <c r="B9" s="7" t="s">
        <v>7</v>
      </c>
      <c r="C9" s="10">
        <v>7800</v>
      </c>
      <c r="D9" s="10">
        <v>2983</v>
      </c>
      <c r="E9" s="10">
        <v>3145</v>
      </c>
      <c r="F9" s="10">
        <f t="shared" si="0"/>
        <v>1672</v>
      </c>
    </row>
    <row r="10" spans="1:10" outlineLevel="2" x14ac:dyDescent="0.3">
      <c r="A10" s="7" t="s">
        <v>25</v>
      </c>
      <c r="B10" s="7" t="s">
        <v>7</v>
      </c>
      <c r="C10" s="10">
        <v>10200</v>
      </c>
      <c r="D10" s="10">
        <v>4080</v>
      </c>
      <c r="E10" s="10">
        <v>4182</v>
      </c>
      <c r="F10" s="10">
        <f t="shared" si="0"/>
        <v>1938</v>
      </c>
    </row>
    <row r="11" spans="1:10" outlineLevel="2" x14ac:dyDescent="0.3">
      <c r="A11" s="7" t="s">
        <v>26</v>
      </c>
      <c r="B11" s="7" t="s">
        <v>7</v>
      </c>
      <c r="C11" s="10">
        <v>9600</v>
      </c>
      <c r="D11" s="10">
        <v>3845</v>
      </c>
      <c r="E11" s="10">
        <v>3935.9999999999995</v>
      </c>
      <c r="F11" s="10">
        <f t="shared" si="0"/>
        <v>1819.0000000000005</v>
      </c>
    </row>
    <row r="12" spans="1:10" outlineLevel="2" x14ac:dyDescent="0.3">
      <c r="A12" s="7" t="s">
        <v>27</v>
      </c>
      <c r="B12" s="7" t="s">
        <v>7</v>
      </c>
      <c r="C12" s="10">
        <v>7200</v>
      </c>
      <c r="D12" s="10">
        <v>2840</v>
      </c>
      <c r="E12" s="10">
        <v>2963</v>
      </c>
      <c r="F12" s="10">
        <f t="shared" si="0"/>
        <v>1397</v>
      </c>
    </row>
    <row r="13" spans="1:10" outlineLevel="1" x14ac:dyDescent="0.3">
      <c r="B13" s="6" t="s">
        <v>56</v>
      </c>
      <c r="C13" s="10">
        <f>SUBTOTAL(1,C8:C12)</f>
        <v>8660</v>
      </c>
      <c r="D13" s="10"/>
      <c r="E13" s="10"/>
      <c r="F13" s="10">
        <f>SUBTOTAL(1,F8:F12)</f>
        <v>1624</v>
      </c>
    </row>
    <row r="14" spans="1:10" outlineLevel="2" x14ac:dyDescent="0.3">
      <c r="A14" s="7" t="s">
        <v>28</v>
      </c>
      <c r="B14" s="7" t="s">
        <v>9</v>
      </c>
      <c r="C14" s="10">
        <v>32800</v>
      </c>
      <c r="D14" s="10">
        <v>13110</v>
      </c>
      <c r="E14" s="10">
        <v>13448</v>
      </c>
      <c r="F14" s="10">
        <f t="shared" si="0"/>
        <v>6242</v>
      </c>
    </row>
    <row r="15" spans="1:10" outlineLevel="2" x14ac:dyDescent="0.3">
      <c r="A15" s="7" t="s">
        <v>29</v>
      </c>
      <c r="B15" s="7" t="s">
        <v>9</v>
      </c>
      <c r="C15" s="10">
        <v>11600</v>
      </c>
      <c r="D15" s="10">
        <v>4640</v>
      </c>
      <c r="E15" s="10">
        <v>5120</v>
      </c>
      <c r="F15" s="10">
        <f t="shared" si="0"/>
        <v>1840</v>
      </c>
    </row>
    <row r="16" spans="1:10" outlineLevel="2" x14ac:dyDescent="0.3">
      <c r="A16" s="7" t="s">
        <v>30</v>
      </c>
      <c r="B16" s="7" t="s">
        <v>9</v>
      </c>
      <c r="C16" s="10">
        <v>9500</v>
      </c>
      <c r="D16" s="10">
        <v>3800</v>
      </c>
      <c r="E16" s="10">
        <v>3894.9999999999995</v>
      </c>
      <c r="F16" s="10">
        <f t="shared" si="0"/>
        <v>1805.0000000000005</v>
      </c>
    </row>
    <row r="17" spans="1:6" outlineLevel="1" x14ac:dyDescent="0.3">
      <c r="B17" s="6" t="s">
        <v>57</v>
      </c>
      <c r="C17" s="10">
        <f>SUBTOTAL(1,C14:C16)</f>
        <v>17966.666666666668</v>
      </c>
      <c r="D17" s="10"/>
      <c r="E17" s="10"/>
      <c r="F17" s="10">
        <f>SUBTOTAL(1,F14:F16)</f>
        <v>3295.6666666666665</v>
      </c>
    </row>
    <row r="18" spans="1:6" outlineLevel="2" x14ac:dyDescent="0.3">
      <c r="A18" s="7" t="s">
        <v>31</v>
      </c>
      <c r="B18" s="7" t="s">
        <v>10</v>
      </c>
      <c r="C18" s="10">
        <v>8200</v>
      </c>
      <c r="D18" s="10">
        <v>3277</v>
      </c>
      <c r="E18" s="10">
        <v>3362</v>
      </c>
      <c r="F18" s="10">
        <f t="shared" si="0"/>
        <v>1561</v>
      </c>
    </row>
    <row r="19" spans="1:6" outlineLevel="2" x14ac:dyDescent="0.3">
      <c r="A19" s="7" t="s">
        <v>32</v>
      </c>
      <c r="B19" s="7" t="s">
        <v>10</v>
      </c>
      <c r="C19" s="10">
        <v>6300</v>
      </c>
      <c r="D19" s="10">
        <v>2523</v>
      </c>
      <c r="E19" s="10">
        <v>2684</v>
      </c>
      <c r="F19" s="10">
        <f t="shared" si="0"/>
        <v>1093</v>
      </c>
    </row>
    <row r="20" spans="1:6" outlineLevel="2" x14ac:dyDescent="0.3">
      <c r="A20" s="7" t="s">
        <v>33</v>
      </c>
      <c r="B20" s="7" t="s">
        <v>10</v>
      </c>
      <c r="C20" s="10">
        <v>8500</v>
      </c>
      <c r="D20" s="10">
        <v>3248</v>
      </c>
      <c r="E20" s="10">
        <v>3785</v>
      </c>
      <c r="F20" s="10">
        <f t="shared" si="0"/>
        <v>1467</v>
      </c>
    </row>
    <row r="21" spans="1:6" outlineLevel="2" x14ac:dyDescent="0.3">
      <c r="A21" s="7" t="s">
        <v>34</v>
      </c>
      <c r="B21" s="7" t="s">
        <v>10</v>
      </c>
      <c r="C21" s="10">
        <v>8700</v>
      </c>
      <c r="D21" s="10">
        <v>3486</v>
      </c>
      <c r="E21" s="10">
        <v>3967</v>
      </c>
      <c r="F21" s="10">
        <f t="shared" si="0"/>
        <v>1247</v>
      </c>
    </row>
    <row r="22" spans="1:6" outlineLevel="2" x14ac:dyDescent="0.3">
      <c r="A22" s="7" t="s">
        <v>35</v>
      </c>
      <c r="B22" s="7" t="s">
        <v>10</v>
      </c>
      <c r="C22" s="10">
        <v>6500</v>
      </c>
      <c r="D22" s="10">
        <v>2615</v>
      </c>
      <c r="E22" s="10">
        <v>2665</v>
      </c>
      <c r="F22" s="10">
        <f t="shared" si="0"/>
        <v>1220</v>
      </c>
    </row>
    <row r="23" spans="1:6" outlineLevel="1" x14ac:dyDescent="0.3">
      <c r="B23" s="6" t="s">
        <v>58</v>
      </c>
      <c r="C23" s="10">
        <f>SUBTOTAL(1,C18:C22)</f>
        <v>7640</v>
      </c>
      <c r="D23" s="10"/>
      <c r="E23" s="10"/>
      <c r="F23" s="10">
        <f>SUBTOTAL(1,F18:F22)</f>
        <v>1317.6</v>
      </c>
    </row>
    <row r="24" spans="1:6" outlineLevel="2" x14ac:dyDescent="0.3">
      <c r="A24" s="7" t="s">
        <v>36</v>
      </c>
      <c r="B24" s="7" t="s">
        <v>11</v>
      </c>
      <c r="C24" s="10">
        <v>12800</v>
      </c>
      <c r="D24" s="10">
        <v>5124</v>
      </c>
      <c r="E24" s="10">
        <v>5432</v>
      </c>
      <c r="F24" s="10">
        <f t="shared" si="0"/>
        <v>2244</v>
      </c>
    </row>
    <row r="25" spans="1:6" outlineLevel="2" x14ac:dyDescent="0.3">
      <c r="A25" s="7" t="s">
        <v>37</v>
      </c>
      <c r="B25" s="7" t="s">
        <v>11</v>
      </c>
      <c r="C25" s="10">
        <v>12100</v>
      </c>
      <c r="D25" s="10">
        <v>5841</v>
      </c>
      <c r="E25" s="10">
        <v>5961</v>
      </c>
      <c r="F25" s="10">
        <f t="shared" si="0"/>
        <v>298</v>
      </c>
    </row>
    <row r="26" spans="1:6" outlineLevel="2" x14ac:dyDescent="0.3">
      <c r="A26" s="7" t="s">
        <v>38</v>
      </c>
      <c r="B26" s="7" t="s">
        <v>11</v>
      </c>
      <c r="C26" s="10">
        <v>14700</v>
      </c>
      <c r="D26" s="10">
        <v>5882</v>
      </c>
      <c r="E26" s="10">
        <v>6027</v>
      </c>
      <c r="F26" s="10">
        <f t="shared" si="0"/>
        <v>2791</v>
      </c>
    </row>
    <row r="27" spans="1:6" outlineLevel="2" x14ac:dyDescent="0.3">
      <c r="A27" s="7" t="s">
        <v>39</v>
      </c>
      <c r="B27" s="7" t="s">
        <v>11</v>
      </c>
      <c r="C27" s="10">
        <v>9100</v>
      </c>
      <c r="D27" s="10">
        <v>3640</v>
      </c>
      <c r="E27" s="10">
        <v>3731</v>
      </c>
      <c r="F27" s="10">
        <f t="shared" si="0"/>
        <v>1729</v>
      </c>
    </row>
    <row r="28" spans="1:6" outlineLevel="2" x14ac:dyDescent="0.3">
      <c r="A28" s="7" t="s">
        <v>40</v>
      </c>
      <c r="B28" s="7" t="s">
        <v>11</v>
      </c>
      <c r="C28" s="10">
        <v>7400</v>
      </c>
      <c r="D28" s="10">
        <v>2961</v>
      </c>
      <c r="E28" s="10">
        <v>3034</v>
      </c>
      <c r="F28" s="10">
        <f t="shared" si="0"/>
        <v>1405</v>
      </c>
    </row>
    <row r="29" spans="1:6" outlineLevel="2" x14ac:dyDescent="0.3">
      <c r="A29" s="7" t="s">
        <v>41</v>
      </c>
      <c r="B29" s="7" t="s">
        <v>11</v>
      </c>
      <c r="C29" s="10">
        <v>6500</v>
      </c>
      <c r="D29" s="10">
        <v>2698</v>
      </c>
      <c r="E29" s="10">
        <v>2965</v>
      </c>
      <c r="F29" s="10">
        <f t="shared" si="0"/>
        <v>837</v>
      </c>
    </row>
    <row r="30" spans="1:6" outlineLevel="1" x14ac:dyDescent="0.3">
      <c r="B30" s="6" t="s">
        <v>59</v>
      </c>
      <c r="C30" s="10">
        <f>SUBTOTAL(1,C24:C29)</f>
        <v>10433.333333333334</v>
      </c>
      <c r="D30" s="10"/>
      <c r="E30" s="10"/>
      <c r="F30" s="10">
        <f>SUBTOTAL(1,F24:F29)</f>
        <v>1550.6666666666667</v>
      </c>
    </row>
    <row r="31" spans="1:6" outlineLevel="2" x14ac:dyDescent="0.3">
      <c r="A31" s="7" t="s">
        <v>42</v>
      </c>
      <c r="B31" s="7" t="s">
        <v>12</v>
      </c>
      <c r="C31" s="10">
        <v>7400</v>
      </c>
      <c r="D31" s="10">
        <v>2963</v>
      </c>
      <c r="E31" s="10">
        <v>3421</v>
      </c>
      <c r="F31" s="10">
        <f t="shared" si="0"/>
        <v>1016</v>
      </c>
    </row>
    <row r="32" spans="1:6" outlineLevel="2" x14ac:dyDescent="0.3">
      <c r="A32" s="7" t="s">
        <v>43</v>
      </c>
      <c r="B32" s="7" t="s">
        <v>12</v>
      </c>
      <c r="C32" s="11">
        <v>11400</v>
      </c>
      <c r="D32" s="10">
        <v>4567</v>
      </c>
      <c r="E32" s="10">
        <v>4674</v>
      </c>
      <c r="F32" s="10">
        <f t="shared" si="0"/>
        <v>2159</v>
      </c>
    </row>
    <row r="33" spans="1:12" outlineLevel="2" x14ac:dyDescent="0.3">
      <c r="A33" s="7" t="s">
        <v>44</v>
      </c>
      <c r="B33" s="7" t="s">
        <v>12</v>
      </c>
      <c r="C33" s="11">
        <v>18600</v>
      </c>
      <c r="D33" s="10">
        <v>7448</v>
      </c>
      <c r="E33" s="10">
        <v>8626</v>
      </c>
      <c r="F33" s="10">
        <f t="shared" si="0"/>
        <v>2526</v>
      </c>
    </row>
    <row r="34" spans="1:12" outlineLevel="2" x14ac:dyDescent="0.3">
      <c r="A34" s="7" t="s">
        <v>45</v>
      </c>
      <c r="B34" s="7" t="s">
        <v>12</v>
      </c>
      <c r="C34" s="11">
        <v>16200</v>
      </c>
      <c r="D34" s="10">
        <v>6489</v>
      </c>
      <c r="E34" s="10">
        <v>6642</v>
      </c>
      <c r="F34" s="10">
        <f t="shared" si="0"/>
        <v>3069</v>
      </c>
    </row>
    <row r="35" spans="1:12" ht="15.5" customHeight="1" outlineLevel="2" x14ac:dyDescent="0.3">
      <c r="A35" s="7" t="s">
        <v>46</v>
      </c>
      <c r="B35" s="7" t="s">
        <v>12</v>
      </c>
      <c r="C35" s="11">
        <v>8500</v>
      </c>
      <c r="D35" s="10">
        <v>3647</v>
      </c>
      <c r="E35" s="10">
        <v>4541</v>
      </c>
      <c r="F35" s="10">
        <f t="shared" si="0"/>
        <v>312</v>
      </c>
    </row>
    <row r="36" spans="1:12" outlineLevel="2" x14ac:dyDescent="0.3">
      <c r="A36" s="7" t="s">
        <v>47</v>
      </c>
      <c r="B36" s="7" t="s">
        <v>12</v>
      </c>
      <c r="C36" s="11">
        <v>13000</v>
      </c>
      <c r="D36" s="10">
        <v>5213</v>
      </c>
      <c r="E36" s="10">
        <v>5330</v>
      </c>
      <c r="F36" s="10">
        <f t="shared" si="0"/>
        <v>2457</v>
      </c>
      <c r="G36" s="6"/>
      <c r="H36" s="6"/>
      <c r="I36" s="6"/>
      <c r="J36" s="6"/>
      <c r="K36" s="6"/>
      <c r="L36" s="6"/>
    </row>
    <row r="37" spans="1:12" outlineLevel="1" x14ac:dyDescent="0.3">
      <c r="B37" s="6" t="s">
        <v>60</v>
      </c>
      <c r="C37" s="11">
        <f>SUBTOTAL(1,C31:C36)</f>
        <v>12516.666666666666</v>
      </c>
      <c r="D37" s="10"/>
      <c r="E37" s="10"/>
      <c r="F37" s="10">
        <f>SUBTOTAL(1,F31:F36)</f>
        <v>1923.1666666666667</v>
      </c>
      <c r="G37" s="6"/>
      <c r="H37" s="6"/>
      <c r="I37" s="6"/>
      <c r="J37" s="6"/>
      <c r="K37" s="6"/>
      <c r="L37" s="6"/>
    </row>
    <row r="38" spans="1:12" x14ac:dyDescent="0.3">
      <c r="B38" s="6" t="s">
        <v>61</v>
      </c>
      <c r="C38" s="11">
        <f>SUBTOTAL(1,C3:C36)</f>
        <v>10886.206896551725</v>
      </c>
      <c r="D38" s="10"/>
      <c r="E38" s="10"/>
      <c r="F38" s="10">
        <f>SUBTOTAL(1,F3:F36)</f>
        <v>1753.7241379310344</v>
      </c>
      <c r="G38" s="6"/>
      <c r="H38" s="6"/>
      <c r="I38" s="6"/>
      <c r="J38" s="6"/>
      <c r="K38" s="6"/>
      <c r="L38" s="6"/>
    </row>
    <row r="39" spans="1:12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3">
      <c r="A40" s="12" t="s">
        <v>18</v>
      </c>
      <c r="B40" s="13"/>
      <c r="C40" s="14">
        <f>ROUNDDOWN(F38,0)</f>
        <v>1753</v>
      </c>
    </row>
    <row r="41" spans="1:12" x14ac:dyDescent="0.3">
      <c r="A41" s="15"/>
      <c r="B41" s="16"/>
      <c r="C41" s="17"/>
    </row>
    <row r="42" spans="1:12" x14ac:dyDescent="0.3">
      <c r="A42" s="15" t="s">
        <v>19</v>
      </c>
      <c r="B42" s="16"/>
      <c r="C42" s="18">
        <f>32600</f>
        <v>32600</v>
      </c>
    </row>
    <row r="43" spans="1:12" x14ac:dyDescent="0.3">
      <c r="A43" s="15"/>
      <c r="B43" s="16"/>
      <c r="C43" s="17"/>
    </row>
    <row r="44" spans="1:12" x14ac:dyDescent="0.3">
      <c r="A44" s="15" t="s">
        <v>49</v>
      </c>
      <c r="B44" s="16"/>
      <c r="C44" s="19">
        <f>ROUNDUP(C42/C40,0)</f>
        <v>19</v>
      </c>
    </row>
    <row r="45" spans="1:12" x14ac:dyDescent="0.3">
      <c r="A45" s="15"/>
      <c r="B45" s="16"/>
      <c r="C45" s="20"/>
    </row>
    <row r="46" spans="1:12" x14ac:dyDescent="0.3">
      <c r="A46" s="15" t="s">
        <v>48</v>
      </c>
      <c r="B46" s="16"/>
      <c r="C46" s="21">
        <f>(J2-C44)/J2</f>
        <v>0.34482758620689657</v>
      </c>
    </row>
    <row r="47" spans="1:12" x14ac:dyDescent="0.3">
      <c r="A47" s="22"/>
      <c r="B47" s="23"/>
      <c r="C47" s="24"/>
    </row>
    <row r="48" spans="1:12" x14ac:dyDescent="0.3">
      <c r="A48" s="25" t="s">
        <v>50</v>
      </c>
      <c r="B48" s="26"/>
      <c r="C48" s="27">
        <f>(C42+50000)/C40*C38</f>
        <v>512949.62330585998</v>
      </c>
    </row>
  </sheetData>
  <mergeCells count="1">
    <mergeCell ref="H2:I2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C2BC-AD6B-4F6D-A3FC-2B386F013312}">
  <dimension ref="A1:G29"/>
  <sheetViews>
    <sheetView topLeftCell="A7" zoomScale="110" zoomScaleNormal="110" workbookViewId="0">
      <selection activeCell="A18" sqref="A18"/>
    </sheetView>
  </sheetViews>
  <sheetFormatPr defaultRowHeight="14.5" x14ac:dyDescent="0.35"/>
  <cols>
    <col min="1" max="1" width="27.453125" customWidth="1"/>
    <col min="2" max="2" width="15.36328125" customWidth="1"/>
    <col min="3" max="3" width="15.26953125" customWidth="1"/>
    <col min="4" max="4" width="13.7265625" bestFit="1" customWidth="1"/>
    <col min="5" max="5" width="12.6328125" bestFit="1" customWidth="1"/>
  </cols>
  <sheetData>
    <row r="1" spans="1:7" x14ac:dyDescent="0.35">
      <c r="A1" s="1" t="s">
        <v>62</v>
      </c>
    </row>
    <row r="2" spans="1:7" x14ac:dyDescent="0.35">
      <c r="B2" s="28"/>
    </row>
    <row r="3" spans="1:7" x14ac:dyDescent="0.35">
      <c r="A3" s="1" t="s">
        <v>63</v>
      </c>
      <c r="B3" s="1"/>
    </row>
    <row r="4" spans="1:7" x14ac:dyDescent="0.35">
      <c r="A4" t="s">
        <v>64</v>
      </c>
      <c r="B4" s="28">
        <v>1950</v>
      </c>
    </row>
    <row r="5" spans="1:7" x14ac:dyDescent="0.35">
      <c r="A5" t="s">
        <v>65</v>
      </c>
      <c r="B5" s="28">
        <v>1170</v>
      </c>
    </row>
    <row r="6" spans="1:7" x14ac:dyDescent="0.35">
      <c r="A6" t="s">
        <v>66</v>
      </c>
      <c r="B6" s="28">
        <v>270</v>
      </c>
      <c r="F6" s="29"/>
      <c r="G6" s="29"/>
    </row>
    <row r="7" spans="1:7" x14ac:dyDescent="0.35">
      <c r="A7" t="s">
        <v>67</v>
      </c>
      <c r="B7" s="28">
        <v>1620</v>
      </c>
    </row>
    <row r="8" spans="1:7" x14ac:dyDescent="0.35">
      <c r="A8" t="s">
        <v>68</v>
      </c>
      <c r="B8" s="28">
        <v>4560</v>
      </c>
    </row>
    <row r="9" spans="1:7" ht="15" thickBot="1" x14ac:dyDescent="0.4">
      <c r="B9" s="30">
        <f>SUM(B4:B8)</f>
        <v>9570</v>
      </c>
    </row>
    <row r="10" spans="1:7" ht="15" thickTop="1" x14ac:dyDescent="0.35">
      <c r="A10" s="1" t="s">
        <v>1</v>
      </c>
      <c r="B10" s="2"/>
    </row>
    <row r="11" spans="1:7" x14ac:dyDescent="0.35">
      <c r="A11" t="s">
        <v>69</v>
      </c>
      <c r="B11" s="31">
        <v>152300</v>
      </c>
    </row>
    <row r="12" spans="1:7" x14ac:dyDescent="0.35">
      <c r="A12" t="s">
        <v>70</v>
      </c>
      <c r="B12" s="31">
        <v>64000</v>
      </c>
    </row>
    <row r="13" spans="1:7" x14ac:dyDescent="0.35">
      <c r="A13" t="s">
        <v>71</v>
      </c>
      <c r="B13" s="31">
        <v>75200</v>
      </c>
    </row>
    <row r="14" spans="1:7" x14ac:dyDescent="0.35">
      <c r="A14" t="s">
        <v>72</v>
      </c>
      <c r="B14" s="31">
        <v>472000</v>
      </c>
    </row>
    <row r="15" spans="1:7" ht="15" thickBot="1" x14ac:dyDescent="0.4">
      <c r="B15" s="32">
        <f>SUM(B11:B14)</f>
        <v>763500</v>
      </c>
    </row>
    <row r="16" spans="1:7" ht="15" thickTop="1" x14ac:dyDescent="0.35"/>
    <row r="17" spans="1:3" x14ac:dyDescent="0.35">
      <c r="A17" s="35" t="s">
        <v>73</v>
      </c>
      <c r="B17" s="36"/>
      <c r="C17" s="37"/>
    </row>
    <row r="18" spans="1:3" x14ac:dyDescent="0.35">
      <c r="A18" s="38" t="s">
        <v>74</v>
      </c>
      <c r="B18" s="39">
        <v>100</v>
      </c>
      <c r="C18" s="40">
        <v>120</v>
      </c>
    </row>
    <row r="19" spans="1:3" x14ac:dyDescent="0.35">
      <c r="A19" s="41"/>
      <c r="B19" s="42" t="s">
        <v>0</v>
      </c>
      <c r="C19" s="43" t="s">
        <v>0</v>
      </c>
    </row>
    <row r="20" spans="1:3" x14ac:dyDescent="0.35">
      <c r="A20" s="44" t="s">
        <v>2</v>
      </c>
      <c r="B20" s="45">
        <f>2100000</f>
        <v>2100000</v>
      </c>
      <c r="C20" s="46">
        <f>B20/B18*C18</f>
        <v>2520000</v>
      </c>
    </row>
    <row r="21" spans="1:3" x14ac:dyDescent="0.35">
      <c r="A21" s="44"/>
      <c r="B21" s="45"/>
      <c r="C21" s="46"/>
    </row>
    <row r="22" spans="1:3" x14ac:dyDescent="0.35">
      <c r="A22" s="44" t="s">
        <v>75</v>
      </c>
      <c r="B22" s="45">
        <f>B9*B18</f>
        <v>957000</v>
      </c>
      <c r="C22" s="46">
        <f>B9*C18</f>
        <v>1148400</v>
      </c>
    </row>
    <row r="23" spans="1:3" x14ac:dyDescent="0.35">
      <c r="A23" s="44" t="s">
        <v>1</v>
      </c>
      <c r="B23" s="45">
        <f>B15</f>
        <v>763500</v>
      </c>
      <c r="C23" s="46">
        <f>B15</f>
        <v>763500</v>
      </c>
    </row>
    <row r="24" spans="1:3" x14ac:dyDescent="0.35">
      <c r="A24" s="44" t="s">
        <v>76</v>
      </c>
      <c r="B24" s="47">
        <f>B20-B22-B23</f>
        <v>379500</v>
      </c>
      <c r="C24" s="47">
        <f>C20-C22-C23</f>
        <v>608100</v>
      </c>
    </row>
    <row r="25" spans="1:3" x14ac:dyDescent="0.35">
      <c r="A25" s="34" t="s">
        <v>77</v>
      </c>
      <c r="B25" s="48">
        <f>B24/B18</f>
        <v>3795</v>
      </c>
      <c r="C25" s="48">
        <f>C24/C18</f>
        <v>5067.5</v>
      </c>
    </row>
    <row r="26" spans="1:3" x14ac:dyDescent="0.35">
      <c r="A26" s="49" t="s">
        <v>78</v>
      </c>
      <c r="B26" s="50">
        <f>(B20-B22)/B18</f>
        <v>11430</v>
      </c>
    </row>
    <row r="27" spans="1:3" ht="29" x14ac:dyDescent="0.35">
      <c r="A27" s="49" t="s">
        <v>79</v>
      </c>
      <c r="B27" s="51">
        <f>ROUNDUP(B23/B26,0)</f>
        <v>67</v>
      </c>
    </row>
    <row r="28" spans="1:3" x14ac:dyDescent="0.35">
      <c r="C28" s="33"/>
    </row>
    <row r="29" spans="1:3" x14ac:dyDescent="0.35">
      <c r="A29" s="52" t="s">
        <v>80</v>
      </c>
      <c r="B29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A908-3423-434C-A466-9847FBBEAF4A}">
  <dimension ref="A1:G29"/>
  <sheetViews>
    <sheetView tabSelected="1" zoomScale="110" zoomScaleNormal="110" workbookViewId="0">
      <selection activeCell="E13" sqref="E13"/>
    </sheetView>
  </sheetViews>
  <sheetFormatPr defaultRowHeight="14.5" x14ac:dyDescent="0.35"/>
  <cols>
    <col min="1" max="1" width="27.36328125" customWidth="1"/>
    <col min="2" max="2" width="21.6328125" customWidth="1"/>
    <col min="3" max="3" width="13.90625" customWidth="1"/>
    <col min="4" max="4" width="13.7265625" bestFit="1" customWidth="1"/>
    <col min="5" max="5" width="12.6328125" bestFit="1" customWidth="1"/>
  </cols>
  <sheetData>
    <row r="1" spans="1:7" x14ac:dyDescent="0.35">
      <c r="A1" s="1" t="s">
        <v>62</v>
      </c>
    </row>
    <row r="2" spans="1:7" x14ac:dyDescent="0.35">
      <c r="B2" s="28"/>
    </row>
    <row r="3" spans="1:7" x14ac:dyDescent="0.35">
      <c r="A3" s="1" t="s">
        <v>63</v>
      </c>
      <c r="B3" s="1"/>
    </row>
    <row r="4" spans="1:7" x14ac:dyDescent="0.35">
      <c r="A4" t="s">
        <v>64</v>
      </c>
      <c r="B4" s="28">
        <f>1950*1.5</f>
        <v>2925</v>
      </c>
    </row>
    <row r="5" spans="1:7" x14ac:dyDescent="0.35">
      <c r="A5" t="s">
        <v>65</v>
      </c>
      <c r="B5" s="28">
        <f>1170*1.1</f>
        <v>1287</v>
      </c>
    </row>
    <row r="6" spans="1:7" x14ac:dyDescent="0.35">
      <c r="A6" t="s">
        <v>66</v>
      </c>
      <c r="B6" s="28">
        <f>270*1.1</f>
        <v>297</v>
      </c>
      <c r="F6" s="29"/>
      <c r="G6" s="29"/>
    </row>
    <row r="7" spans="1:7" x14ac:dyDescent="0.35">
      <c r="A7" t="s">
        <v>67</v>
      </c>
      <c r="B7" s="28">
        <f>1620*1.1</f>
        <v>1782.0000000000002</v>
      </c>
    </row>
    <row r="8" spans="1:7" x14ac:dyDescent="0.35">
      <c r="A8" t="s">
        <v>68</v>
      </c>
      <c r="B8" s="28">
        <f>4560*1.1</f>
        <v>5016</v>
      </c>
    </row>
    <row r="9" spans="1:7" ht="15" thickBot="1" x14ac:dyDescent="0.4">
      <c r="B9" s="30">
        <f>SUM(B4:B8)</f>
        <v>11307</v>
      </c>
    </row>
    <row r="10" spans="1:7" ht="15" thickTop="1" x14ac:dyDescent="0.35">
      <c r="A10" s="1" t="s">
        <v>1</v>
      </c>
      <c r="B10" s="2"/>
    </row>
    <row r="11" spans="1:7" x14ac:dyDescent="0.35">
      <c r="A11" t="s">
        <v>69</v>
      </c>
      <c r="B11" s="31">
        <v>152300</v>
      </c>
    </row>
    <row r="12" spans="1:7" x14ac:dyDescent="0.35">
      <c r="A12" t="s">
        <v>70</v>
      </c>
      <c r="B12" s="31">
        <v>64000</v>
      </c>
    </row>
    <row r="13" spans="1:7" x14ac:dyDescent="0.35">
      <c r="A13" t="s">
        <v>71</v>
      </c>
      <c r="B13" s="31">
        <v>75200</v>
      </c>
    </row>
    <row r="14" spans="1:7" x14ac:dyDescent="0.35">
      <c r="A14" t="s">
        <v>72</v>
      </c>
      <c r="B14" s="31">
        <f>472000+190000</f>
        <v>662000</v>
      </c>
    </row>
    <row r="15" spans="1:7" ht="15" thickBot="1" x14ac:dyDescent="0.4">
      <c r="B15" s="32">
        <f>SUM(B11:B14)</f>
        <v>953500</v>
      </c>
    </row>
    <row r="16" spans="1:7" ht="15" thickTop="1" x14ac:dyDescent="0.35"/>
    <row r="17" spans="1:3" x14ac:dyDescent="0.35">
      <c r="A17" s="54" t="s">
        <v>73</v>
      </c>
      <c r="B17" s="36"/>
      <c r="C17" s="37"/>
    </row>
    <row r="18" spans="1:3" x14ac:dyDescent="0.35">
      <c r="A18" s="38" t="s">
        <v>74</v>
      </c>
      <c r="B18" s="39">
        <v>100</v>
      </c>
      <c r="C18" s="40">
        <v>120</v>
      </c>
    </row>
    <row r="19" spans="1:3" x14ac:dyDescent="0.35">
      <c r="A19" s="41"/>
      <c r="B19" s="42" t="s">
        <v>0</v>
      </c>
      <c r="C19" s="43" t="s">
        <v>0</v>
      </c>
    </row>
    <row r="20" spans="1:3" x14ac:dyDescent="0.35">
      <c r="A20" s="44" t="s">
        <v>2</v>
      </c>
      <c r="B20" s="45">
        <f>2100000/70*100</f>
        <v>3000000</v>
      </c>
      <c r="C20" s="46">
        <f>B20/B18*C18</f>
        <v>3600000</v>
      </c>
    </row>
    <row r="21" spans="1:3" x14ac:dyDescent="0.35">
      <c r="A21" s="44"/>
      <c r="B21" s="45"/>
      <c r="C21" s="46"/>
    </row>
    <row r="22" spans="1:3" x14ac:dyDescent="0.35">
      <c r="A22" s="44" t="s">
        <v>75</v>
      </c>
      <c r="B22" s="45">
        <f>B9*B18</f>
        <v>1130700</v>
      </c>
      <c r="C22" s="46">
        <f>B9*C18</f>
        <v>1356840</v>
      </c>
    </row>
    <row r="23" spans="1:3" x14ac:dyDescent="0.35">
      <c r="A23" s="44" t="s">
        <v>1</v>
      </c>
      <c r="B23" s="45">
        <f>B15</f>
        <v>953500</v>
      </c>
      <c r="C23" s="46">
        <f>B15</f>
        <v>953500</v>
      </c>
    </row>
    <row r="24" spans="1:3" x14ac:dyDescent="0.35">
      <c r="A24" s="44" t="s">
        <v>76</v>
      </c>
      <c r="B24" s="47">
        <f>B20-B22-B23</f>
        <v>915800</v>
      </c>
      <c r="C24" s="47">
        <f>C20-C22-C23</f>
        <v>1289660</v>
      </c>
    </row>
    <row r="25" spans="1:3" x14ac:dyDescent="0.35">
      <c r="A25" s="34" t="s">
        <v>77</v>
      </c>
      <c r="B25" s="48">
        <f>B24/B18</f>
        <v>9158</v>
      </c>
      <c r="C25" s="48">
        <f>C24/C18</f>
        <v>10747.166666666666</v>
      </c>
    </row>
    <row r="26" spans="1:3" x14ac:dyDescent="0.35">
      <c r="A26" s="49" t="s">
        <v>78</v>
      </c>
      <c r="B26" s="50">
        <f>(B20-B22)/B18</f>
        <v>18693</v>
      </c>
    </row>
    <row r="27" spans="1:3" ht="29" x14ac:dyDescent="0.35">
      <c r="A27" s="49" t="s">
        <v>79</v>
      </c>
      <c r="B27" s="51">
        <f>ROUNDUP(B23/B26,0)</f>
        <v>52</v>
      </c>
    </row>
    <row r="28" spans="1:3" x14ac:dyDescent="0.35">
      <c r="C28" s="33"/>
    </row>
    <row r="29" spans="1:3" x14ac:dyDescent="0.35">
      <c r="A29" s="52" t="s">
        <v>80</v>
      </c>
      <c r="B29" s="53" t="str">
        <f>IF((B27&lt;'8.9 The Outlook Hotel'!B27),"Yes","No")</f>
        <v>Yes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8.4 Sales trend</vt:lpstr>
      <vt:lpstr>8.4 Bathroom jobs </vt:lpstr>
      <vt:lpstr>8.9 The Outlook Hotel</vt:lpstr>
      <vt:lpstr>8.9 Revised break even</vt:lpstr>
      <vt:lpstr>'8.9 Revised break even'!Print_Area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cp:lastPrinted>2021-12-05T16:39:16Z</cp:lastPrinted>
  <dcterms:created xsi:type="dcterms:W3CDTF">2016-06-27T12:57:31Z</dcterms:created>
  <dcterms:modified xsi:type="dcterms:W3CDTF">2021-12-05T16:44:15Z</dcterms:modified>
</cp:coreProperties>
</file>